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910" windowHeight="6840" tabRatio="697" firstSheet="1" activeTab="1"/>
  </bookViews>
  <sheets>
    <sheet name="Sprache" sheetId="1" state="hidden" r:id="rId1"/>
    <sheet name="EN-1c" sheetId="2" r:id="rId2"/>
    <sheet name="Rechengang" sheetId="3" r:id="rId3"/>
    <sheet name="Lueftungsanlagen" sheetId="4" r:id="rId4"/>
    <sheet name="Erneuerbar" sheetId="5" r:id="rId5"/>
    <sheet name="Daten für Grafik" sheetId="6" state="hidden" r:id="rId6"/>
    <sheet name="Resultat grafisch" sheetId="7" r:id="rId7"/>
    <sheet name="Input" sheetId="8" state="hidden" r:id="rId8"/>
    <sheet name="Eingabe" sheetId="9" state="hidden" r:id="rId9"/>
    <sheet name="log" sheetId="10" state="hidden" r:id="rId10"/>
  </sheets>
  <definedNames>
    <definedName name="_EBF1">'Rechengang'!$E$11</definedName>
    <definedName name="_EBF2">'Rechengang'!$F$11</definedName>
    <definedName name="_EBF3">'Rechengang'!$G$11</definedName>
    <definedName name="_EBF4">'Rechengang'!$H$11</definedName>
    <definedName name="_nL1">'Lueftungsanlagen'!$T$18</definedName>
    <definedName name="_nL2">'Lueftungsanlagen'!$T$19</definedName>
    <definedName name="_nL3">'Lueftungsanlagen'!$T$20</definedName>
    <definedName name="_nL4">'Lueftungsanlagen'!$T$21</definedName>
    <definedName name="_Qe1">'Lueftungsanlagen'!$E$11</definedName>
    <definedName name="_Qe2">'Lueftungsanlagen'!$F$11</definedName>
    <definedName name="_Qe3">'Lueftungsanlagen'!$G$11</definedName>
    <definedName name="_Qe4">'Lueftungsanlagen'!$H$11</definedName>
    <definedName name="_Qh1">'Rechengang'!$E$13</definedName>
    <definedName name="_Qh2">'Rechengang'!$F$13</definedName>
    <definedName name="_Qh3">'Rechengang'!$G$13</definedName>
    <definedName name="_Qh4">'Rechengang'!$H$13</definedName>
    <definedName name="_TRL1">#REF!</definedName>
    <definedName name="_TVL1">#REF!</definedName>
    <definedName name="_TWW1">#REF!</definedName>
    <definedName name="_Vo1">'Lueftungsanlagen'!$E$24</definedName>
    <definedName name="_Vo2">'Lueftungsanlagen'!$E$34</definedName>
    <definedName name="_Vo3">'Lueftungsanlagen'!$E$44</definedName>
    <definedName name="_Vo4">'Lueftungsanlagen'!$E$54</definedName>
    <definedName name="_Vth1">'Lueftungsanlagen'!$J$24</definedName>
    <definedName name="_Vth2">'Lueftungsanlagen'!$J$34</definedName>
    <definedName name="_Vth3">'Lueftungsanlagen'!$J$44</definedName>
    <definedName name="_Vth4">'Lueftungsanlagen'!$J$54</definedName>
    <definedName name="_WRG1">'Lueftungsanlagen'!$E$14</definedName>
    <definedName name="_WRG2">'Lueftungsanlagen'!$F$14</definedName>
    <definedName name="_WRG3">'Lueftungsanlagen'!$G$14</definedName>
    <definedName name="_WRG4">'Lueftungsanlagen'!$H$14</definedName>
    <definedName name="AEBF">'Rechengang'!$J$12</definedName>
    <definedName name="AEBF1">'Rechengang'!$E$12</definedName>
    <definedName name="AEBF2">'Rechengang'!$F$12</definedName>
    <definedName name="AEBF3">'Rechengang'!$G$12</definedName>
    <definedName name="AEBF4">'Rechengang'!$H$12</definedName>
    <definedName name="Azimut">#REF!</definedName>
    <definedName name="Bedarf">#REF!</definedName>
    <definedName name="BedarfWW">#REF!</definedName>
    <definedName name="bivalent">#REF!</definedName>
    <definedName name="Bivalenzpunkt">#REF!</definedName>
    <definedName name="DeltaT_eff">#REF!</definedName>
    <definedName name="DeltaT_ref">#REF!</definedName>
    <definedName name="_xlnm.Print_Area" localSheetId="1">'EN-1c'!$B$3:$P$70</definedName>
    <definedName name="_xlnm.Print_Area" localSheetId="4">'Erneuerbar'!$A$1:$F$64</definedName>
    <definedName name="_xlnm.Print_Area" localSheetId="3">'Lueftungsanlagen'!$A$1:$J$56</definedName>
    <definedName name="_xlnm.Print_Area" localSheetId="2">'Rechengang'!$A$1:$J$47</definedName>
    <definedName name="_xlnm.Print_Area" localSheetId="6">'Resultat grafisch'!$A$1:$H$58</definedName>
    <definedName name="DT__7">#REF!</definedName>
    <definedName name="DT_2">#REF!</definedName>
    <definedName name="DT_7">#REF!</definedName>
    <definedName name="DT_7_50">#REF!</definedName>
    <definedName name="dTNutzer">#REF!</definedName>
    <definedName name="EBF">'Rechengang'!$J$11</definedName>
    <definedName name="EBFo">'Rechengang'!$J$48</definedName>
    <definedName name="EBFo1">'Rechengang'!$E$48</definedName>
    <definedName name="EBFo2">'Rechengang'!$F$48</definedName>
    <definedName name="EBFo3">'Rechengang'!$G$48</definedName>
    <definedName name="EBFo4">'Rechengang'!$H$48</definedName>
    <definedName name="Eingabe1">#REF!</definedName>
    <definedName name="Elektro">'Rechengang'!$J$15</definedName>
    <definedName name="Elektro_WW1">'Rechengang'!$E$21</definedName>
    <definedName name="Elektro_WW2">'Rechengang'!$F$21</definedName>
    <definedName name="Elektro_WW3">'Rechengang'!$G$21</definedName>
    <definedName name="Elektro_WW4">'Rechengang'!$H$21</definedName>
    <definedName name="Elektro1">'Rechengang'!$E$15</definedName>
    <definedName name="Elektro2">'Rechengang'!$F$15</definedName>
    <definedName name="Elektro3">'Rechengang'!$G$15</definedName>
    <definedName name="Elektro4">'Rechengang'!$H$15</definedName>
    <definedName name="elWW">#REF!</definedName>
    <definedName name="elZusatz">#REF!</definedName>
    <definedName name="Etah">#REF!</definedName>
    <definedName name="Etaw">#REF!</definedName>
    <definedName name="EtaW2">#REF!</definedName>
    <definedName name="EtaWW">#REF!</definedName>
    <definedName name="Heizperiod">#REF!</definedName>
    <definedName name="Heizperiode">#REF!</definedName>
    <definedName name="Heizspeicher">#REF!</definedName>
    <definedName name="Heizung">#REF!</definedName>
    <definedName name="Hg">'Rechengang'!$J$18</definedName>
    <definedName name="HGT">#REF!</definedName>
    <definedName name="Hoehe">'Rechengang'!$E$7</definedName>
    <definedName name="Höhe1">'Lueftungsanlagen'!$E$10</definedName>
    <definedName name="Höhe2">'Lueftungsanlagen'!$F$10</definedName>
    <definedName name="Höhe3">'Lueftungsanlagen'!$G$10</definedName>
    <definedName name="Höhe4">'Lueftungsanlagen'!$H$10</definedName>
    <definedName name="jazh">#REF!</definedName>
    <definedName name="jazww">#REF!</definedName>
    <definedName name="Kategorie">#REF!</definedName>
    <definedName name="Kategorie1">'Rechengang'!$T$2</definedName>
    <definedName name="Kategorie2">'Rechengang'!$T$3</definedName>
    <definedName name="Kategorie3">'Rechengang'!$T$4</definedName>
    <definedName name="Kategorie4">'Rechengang'!$T$5</definedName>
    <definedName name="Kesselleistung">#REF!</definedName>
    <definedName name="Klima">'Rechengang'!$Z$2</definedName>
    <definedName name="Klimakorr">#REF!</definedName>
    <definedName name="Kollektor">#REF!</definedName>
    <definedName name="KollektorWW">#REF!</definedName>
    <definedName name="lambda_Erde">#REF!</definedName>
    <definedName name="Laufzeit_Zusatzheizung">#REF!</definedName>
    <definedName name="Leistung">#REF!</definedName>
    <definedName name="Leistungsvorschlag">#REF!</definedName>
    <definedName name="Max_Zusatzheizung">#REF!</definedName>
    <definedName name="muM">#REF!</definedName>
    <definedName name="Neigung">#REF!</definedName>
    <definedName name="Nutzungsgrad">#REF!</definedName>
    <definedName name="Offset">#REF!</definedName>
    <definedName name="Pel1Stufe1">'Lueftungsanlagen'!$F$21</definedName>
    <definedName name="Pel1Stufe2">'Lueftungsanlagen'!$G$21</definedName>
    <definedName name="Pel1Stufe3">'Lueftungsanlagen'!$H$21</definedName>
    <definedName name="Pel2Stufe1">'Lueftungsanlagen'!$F$31</definedName>
    <definedName name="Pel2Stufe2">'Lueftungsanlagen'!$G$31</definedName>
    <definedName name="Pel2Stufe3">'Lueftungsanlagen'!$H$31</definedName>
    <definedName name="Pel3Stufe1">'Lueftungsanlagen'!$F$41</definedName>
    <definedName name="Pel3Stufe2">'Lueftungsanlagen'!$G$41</definedName>
    <definedName name="Pel3Stufe3">'Lueftungsanlagen'!$H$41</definedName>
    <definedName name="Pel4Stufe1">'Lueftungsanlagen'!$F$51</definedName>
    <definedName name="Pel4Stufe2">'Lueftungsanlagen'!$G$51</definedName>
    <definedName name="Pel4Stufe3">'Lueftungsanlagen'!$H$51</definedName>
    <definedName name="Projekt1">'Rechengang'!$B$3</definedName>
    <definedName name="Projekt2">'Rechengang'!$B$4</definedName>
    <definedName name="Projekt3">'Rechengang'!$B$5</definedName>
    <definedName name="Qh">'Rechengang'!$J$13</definedName>
    <definedName name="QT">#REF!</definedName>
    <definedName name="Qtot">#REF!</definedName>
    <definedName name="QV">#REF!</definedName>
    <definedName name="Qww">#REF!</definedName>
    <definedName name="Qwww">'Rechengang'!$J$19</definedName>
    <definedName name="Rechenwert_Leistung">#REF!</definedName>
    <definedName name="Solarant">#REF!</definedName>
    <definedName name="Solaranteil">#REF!</definedName>
    <definedName name="SolWW">#REF!</definedName>
    <definedName name="Speicher">#REF!</definedName>
    <definedName name="Sperrzeit">#REF!</definedName>
    <definedName name="TaMin">#REF!</definedName>
    <definedName name="TaMittel">#REF!</definedName>
    <definedName name="Thetaea">'Rechengang'!$J$7</definedName>
    <definedName name="TQuelle">#REF!</definedName>
    <definedName name="TQuelle_Koll">#REF!</definedName>
    <definedName name="TQuelleH1">#REF!</definedName>
    <definedName name="TQuelleW1">#REF!</definedName>
    <definedName name="TRL">#REF!</definedName>
    <definedName name="TVL">#REF!</definedName>
    <definedName name="Verteilverluste">#REF!</definedName>
    <definedName name="Vo">'Lueftungsanlagen'!$H$59</definedName>
    <definedName name="Vsup1Stufe1">'Lueftungsanlagen'!$F$23</definedName>
    <definedName name="Vsup1Stufe2">'Lueftungsanlagen'!$G$23</definedName>
    <definedName name="Vsup1Stufe3">'Lueftungsanlagen'!$H$23</definedName>
    <definedName name="Vsup2Stufe1">'Lueftungsanlagen'!$F$33</definedName>
    <definedName name="Vsup2Stufe2">'Lueftungsanlagen'!$G$33</definedName>
    <definedName name="Vsup2Stufe3">'Lueftungsanlagen'!$H$33</definedName>
    <definedName name="Vsup3Stufe1">'Lueftungsanlagen'!$F$43</definedName>
    <definedName name="Vsup3Stufe2">'Lueftungsanlagen'!$G$43</definedName>
    <definedName name="Vsup3Stufe3">'Lueftungsanlagen'!$H$43</definedName>
    <definedName name="Vsup4Stufe1">'Lueftungsanlagen'!$F$53</definedName>
    <definedName name="Vsup4Stufe2">'Lueftungsanlagen'!$G$53</definedName>
    <definedName name="Vsup4Stufe3">'Lueftungsanlagen'!$H$53</definedName>
    <definedName name="Vx">'Lueftungsanlagen'!$H$58</definedName>
    <definedName name="Vzul0">'Lueftungsanlagen'!$E$20</definedName>
    <definedName name="Vzul1Stufe1">'Lueftungsanlagen'!$F$20</definedName>
    <definedName name="Vzul1Stufe2">'Lueftungsanlagen'!$G$20</definedName>
    <definedName name="Vzul1Stufe3">'Lueftungsanlagen'!$H$20</definedName>
    <definedName name="Vzul2Stufe1">'Lueftungsanlagen'!$F$30</definedName>
    <definedName name="Vzul2Stufe2">'Lueftungsanlagen'!$G$30</definedName>
    <definedName name="Vzul2Stufe3">'Lueftungsanlagen'!$H$30</definedName>
    <definedName name="Vzul3">'Lueftungsanlagen'!$H$20</definedName>
    <definedName name="Vzul3Stufe1">'Lueftungsanlagen'!$F$40</definedName>
    <definedName name="Vzul3Stufe2">'Lueftungsanlagen'!$G$40</definedName>
    <definedName name="Vzul3Stufe3">'Lueftungsanlagen'!$H$40</definedName>
    <definedName name="Vzul4Stufe1">'Lueftungsanlagen'!$F$50</definedName>
    <definedName name="Vzul4Stufe2">'Lueftungsanlagen'!$G$50</definedName>
    <definedName name="Vzul4Stufe3">'Lueftungsanlagen'!$H$50</definedName>
    <definedName name="Wetterstation">#REF!</definedName>
    <definedName name="wh">#REF!</definedName>
    <definedName name="Wochen">'Lueftungsanlagen'!$H$7</definedName>
    <definedName name="Wochen1">'Lueftungsanlagen'!$H$18</definedName>
    <definedName name="Wochen2">'Lueftungsanlagen'!$H$28</definedName>
    <definedName name="Wochen3">'Lueftungsanlagen'!$H$38</definedName>
    <definedName name="Wochen4">'Lueftungsanlagen'!$H$48</definedName>
    <definedName name="WPArt">#REF!</definedName>
    <definedName name="WPArt2">#REF!</definedName>
    <definedName name="WW">#REF!</definedName>
    <definedName name="www">#REF!</definedName>
    <definedName name="Zusatzheizung">#REF!</definedName>
    <definedName name="Zusatzheizung_total">#REF!</definedName>
    <definedName name="ZusatzWW">#REF!</definedName>
  </definedNames>
  <calcPr fullCalcOnLoad="1"/>
</workbook>
</file>

<file path=xl/comments2.xml><?xml version="1.0" encoding="utf-8"?>
<comments xmlns="http://schemas.openxmlformats.org/spreadsheetml/2006/main">
  <authors>
    <author>Arthur Huber</author>
  </authors>
  <commentList>
    <comment ref="D15" authorId="0">
      <text>
        <r>
          <rPr>
            <b/>
            <sz val="8"/>
            <rFont val="Tahoma"/>
            <family val="0"/>
          </rPr>
          <t xml:space="preserve">EBF neu:
</t>
        </r>
        <r>
          <rPr>
            <sz val="8"/>
            <rFont val="Tahoma"/>
            <family val="2"/>
          </rPr>
          <t>EBF der Erweiterung oder Aufstockung, ohne Altbauteil.</t>
        </r>
      </text>
    </comment>
    <comment ref="N13" authorId="0">
      <text>
        <r>
          <rPr>
            <sz val="8"/>
            <rFont val="Tahoma"/>
            <family val="2"/>
          </rPr>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r>
      </text>
    </comment>
    <comment ref="F11" authorId="0">
      <text>
        <r>
          <rPr>
            <sz val="8"/>
            <rFont val="Tahoma"/>
            <family val="2"/>
          </rPr>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r>
      </text>
    </comment>
    <comment ref="N48" authorId="0">
      <text>
        <r>
          <rPr>
            <sz val="8"/>
            <rFont val="Tahoma"/>
            <family val="2"/>
          </rPr>
          <t>Falls eine andere Prozentzahl als 80% als Bedingung für den Höchstanteil angesetzt ist, ist hier ersichtlich, ob die Anforderung erfüllt ist.</t>
        </r>
      </text>
    </comment>
  </commentList>
</comments>
</file>

<file path=xl/comments3.xml><?xml version="1.0" encoding="utf-8"?>
<comments xmlns="http://schemas.openxmlformats.org/spreadsheetml/2006/main">
  <authors>
    <author>Arthur Huber</author>
  </authors>
  <commentList>
    <comment ref="B15" authorId="0">
      <text>
        <r>
          <rPr>
            <b/>
            <sz val="8"/>
            <rFont val="Tahoma"/>
            <family val="0"/>
          </rPr>
          <t xml:space="preserve">Elektrodirektheizung,  Rechenwert:
</t>
        </r>
        <r>
          <rPr>
            <sz val="8"/>
            <rFont val="Tahoma"/>
            <family val="2"/>
          </rPr>
          <t xml:space="preserve">
Als Vorschlagswert wird der Elektro-Anteil für die Heizung aus dem Blatt WP genommen, falls dort Elektro-Zusatzheizung angewählt wurde, ansonsten ist der Vorschlagswert Null.
Der Rechenwert übernimmt den Vorschlagswert, sofern in der Zeile 15 kein Wert eingegeben wird.</t>
        </r>
      </text>
    </comment>
    <comment ref="B21" authorId="0">
      <text>
        <r>
          <rPr>
            <b/>
            <sz val="8"/>
            <rFont val="Tahoma"/>
            <family val="0"/>
          </rPr>
          <t xml:space="preserve">Elektrodirektheizung,  Rechenwert:
</t>
        </r>
        <r>
          <rPr>
            <sz val="8"/>
            <rFont val="Tahoma"/>
            <family val="2"/>
          </rPr>
          <t xml:space="preserve">
Als Vorschlagswert wird der Elektro-Anteil für das Warmwasser aus dem Blatt WP genommen, falls dort Elektro-Einsatz zur Nachwärmung oder im Parallelbetrieb bei der Wassererwärmung angewählt wurde, ansonsten ist der Vorschlagswert Null.
Der Rechenwert übernimmt den Vorschlagswert, sofern in der Zeile 20 kein Wert eingegeben wird.</t>
        </r>
      </text>
    </comment>
    <comment ref="B13" authorId="0">
      <text>
        <r>
          <rPr>
            <b/>
            <sz val="8"/>
            <rFont val="Tahoma"/>
            <family val="0"/>
          </rPr>
          <t xml:space="preserve">Heizwärmebedarf Qh,eff:
</t>
        </r>
        <r>
          <rPr>
            <sz val="8"/>
            <rFont val="Tahoma"/>
            <family val="2"/>
          </rPr>
          <t>Kann aus der Berechnung SIA 380/1 entnommen werden. Berechnet mit effektivem, thermisch wirksamen Aussenluftvolumenstrom (WRG kann berücksichtigt werden).</t>
        </r>
      </text>
    </comment>
  </commentList>
</comments>
</file>

<file path=xl/sharedStrings.xml><?xml version="1.0" encoding="utf-8"?>
<sst xmlns="http://schemas.openxmlformats.org/spreadsheetml/2006/main" count="1707" uniqueCount="1156">
  <si>
    <t>Summe</t>
  </si>
  <si>
    <t>Industrie</t>
  </si>
  <si>
    <t>(Mittel)</t>
  </si>
  <si>
    <t>Energiebezugsfläche</t>
  </si>
  <si>
    <t>Qh</t>
  </si>
  <si>
    <t>Hg</t>
  </si>
  <si>
    <t>Warmwasserbedarf</t>
  </si>
  <si>
    <t>Qww</t>
  </si>
  <si>
    <t>Zulässiger Energiebedarf</t>
  </si>
  <si>
    <t xml:space="preserve">      für Heizung</t>
  </si>
  <si>
    <t xml:space="preserve">      für Warmwasser</t>
  </si>
  <si>
    <t xml:space="preserve">   für Heizung und Warmwasser</t>
  </si>
  <si>
    <t>Höchstanteil an nichterneuerbaren Energien</t>
  </si>
  <si>
    <t>Geplanter Energiebedarf</t>
  </si>
  <si>
    <t>Strom Lüftung doppelt gewichtet</t>
  </si>
  <si>
    <t>Gewichteter Energiebedarf</t>
  </si>
  <si>
    <t>Erneuerbare Energie/Abwärme</t>
  </si>
  <si>
    <t>Ertrag:</t>
  </si>
  <si>
    <t>Wärme</t>
  </si>
  <si>
    <t>Strom</t>
  </si>
  <si>
    <t>Netto</t>
  </si>
  <si>
    <t>Solaranlage</t>
  </si>
  <si>
    <t>kWh/a</t>
  </si>
  <si>
    <t>Wärmepumpe</t>
  </si>
  <si>
    <t>Holzheizung</t>
  </si>
  <si>
    <t>Abwärmenutzung</t>
  </si>
  <si>
    <t>andere erneuerbare Energien</t>
  </si>
  <si>
    <t>Summe erneuerbare Energie</t>
  </si>
  <si>
    <t>Durch nichterneuerbare Energie gedeckt</t>
  </si>
  <si>
    <t>Vergleich</t>
  </si>
  <si>
    <t>Anforderung</t>
  </si>
  <si>
    <t>Deckung</t>
  </si>
  <si>
    <t xml:space="preserve">  &lt;-----&gt;</t>
  </si>
  <si>
    <t>Warmwasserbedarf (Qww)</t>
  </si>
  <si>
    <t>Heizenergiebedarf (Qh)</t>
  </si>
  <si>
    <t>Lüftungsanlagen mit Wärmerückgewinnung</t>
  </si>
  <si>
    <t>Strombedarf Lüftungsanlage</t>
  </si>
  <si>
    <t>Wirkungsgrad WRG</t>
  </si>
  <si>
    <t>%</t>
  </si>
  <si>
    <t>Lüftungsanlage (ZUL + ABL):</t>
  </si>
  <si>
    <t>Aus</t>
  </si>
  <si>
    <t>Stufe 1</t>
  </si>
  <si>
    <t>Stufe 2</t>
  </si>
  <si>
    <t>Stufe 3</t>
  </si>
  <si>
    <t>Luftmenge</t>
  </si>
  <si>
    <t>W</t>
  </si>
  <si>
    <t>Beitrag der erneuerbaren Energien</t>
  </si>
  <si>
    <t>Solaranlagen</t>
  </si>
  <si>
    <t>Anlage (Bezeichnung):</t>
  </si>
  <si>
    <t xml:space="preserve">Absorberfläche </t>
  </si>
  <si>
    <t>m²</t>
  </si>
  <si>
    <t>Ertrag pro m² Absorberfläche (inkl. Reduktionsfaktor)</t>
  </si>
  <si>
    <t>kWh/m²</t>
  </si>
  <si>
    <t>Produktion der Solaranlage:</t>
  </si>
  <si>
    <t>Nettobeitrag der Solaranlage</t>
  </si>
  <si>
    <t>Wärmepumpe (WP)</t>
  </si>
  <si>
    <t>Jahresarbeitszahl (ohne weitere Berechnung):</t>
  </si>
  <si>
    <t>Mittlere elektrische Leistungsaufnahme der WP:</t>
  </si>
  <si>
    <t>Voll-Betriebsstunden bezogen auf mittl. Leistung:</t>
  </si>
  <si>
    <t>Zu deckender Bedarf  für Heizung</t>
  </si>
  <si>
    <t>Heizwärmebedarf Qh,eff:</t>
  </si>
  <si>
    <t>Kann aus der Berechnung SIA 380/1 entnommen werden. Berechnet mit effektivem, thermisch wirksamen Aussenluftvolumenstrom (WRG kann berücksichtigt werden).</t>
  </si>
  <si>
    <t>Klimastation:</t>
  </si>
  <si>
    <t>Auswahl</t>
  </si>
  <si>
    <t>Kategorie 1</t>
  </si>
  <si>
    <t>Kategorie 2</t>
  </si>
  <si>
    <t>Kategorie 3</t>
  </si>
  <si>
    <t>Kategorie 4</t>
  </si>
  <si>
    <t>Gebäudestandort</t>
  </si>
  <si>
    <t xml:space="preserve">Klimastation: </t>
  </si>
  <si>
    <t>hoehe</t>
  </si>
  <si>
    <t>Höhe des Standorts ü.M.</t>
  </si>
  <si>
    <t xml:space="preserve">   80%-Bedingung:</t>
  </si>
  <si>
    <t xml:space="preserve">   Condition 80%:</t>
  </si>
  <si>
    <t xml:space="preserve">   condizione 80%:</t>
  </si>
  <si>
    <t>Rispettata?</t>
  </si>
  <si>
    <t>Si</t>
  </si>
  <si>
    <t>Gli ampliamenti di costruzioni esistenti sono dispensati dalla verifica della parte massima di energia rinnovabile se la nuova superficie di riferimento energetico é inferiore a 50 m2 oppure se non raggiunge il 20% della SRE totale, senza superare 1000 m2.</t>
  </si>
  <si>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</si>
  <si>
    <t>Gültigkeit neu bis 31. 12. 2013</t>
  </si>
  <si>
    <t>Puissance électrique nécessaire (puls.+extr.)</t>
  </si>
  <si>
    <t>Fonctionnement par semaine (max. 168 h)</t>
  </si>
  <si>
    <t>Débit d'air de l'installation de ventilation</t>
  </si>
  <si>
    <t>Taux de renouvellement d'air</t>
  </si>
  <si>
    <t>Arrêt</t>
  </si>
  <si>
    <t>Phase 1</t>
  </si>
  <si>
    <t>Phase 2</t>
  </si>
  <si>
    <t>Phase 3</t>
  </si>
  <si>
    <t>Détails pour zone 2</t>
  </si>
  <si>
    <t>Détails pour zone 3</t>
  </si>
  <si>
    <t>Détails pour zone 4</t>
  </si>
  <si>
    <t>Débit d'air par infiltration à travers les inétanchéités de l'enveloppe lorsque:</t>
  </si>
  <si>
    <t xml:space="preserve">l'installation de ventilation mécanique fonctionne </t>
  </si>
  <si>
    <t>l'installation de ventilation mécanique est à l'arrêt</t>
  </si>
  <si>
    <t>Chauffage + ECS</t>
  </si>
  <si>
    <t>Air</t>
  </si>
  <si>
    <t>Sol</t>
  </si>
  <si>
    <t>Eau</t>
  </si>
  <si>
    <t>Fonctionnement annuel</t>
  </si>
  <si>
    <t>Pas d'énergie supplémentaire</t>
  </si>
  <si>
    <t>Energie supplémentaire nécessaire</t>
  </si>
  <si>
    <t>Disponibles</t>
  </si>
  <si>
    <t>Non disponibles</t>
  </si>
  <si>
    <t>Eneuerbar</t>
  </si>
  <si>
    <t>Rechengang</t>
  </si>
  <si>
    <t>Neue Versionsnummer 6.4 und Gültigkeit bis 31. 12. 2010</t>
  </si>
  <si>
    <t>sp2</t>
  </si>
  <si>
    <t>ertholz2</t>
  </si>
  <si>
    <t>abw1</t>
  </si>
  <si>
    <t>ertabw1</t>
  </si>
  <si>
    <t>elabw1</t>
  </si>
  <si>
    <t>abw2</t>
  </si>
  <si>
    <t>ertabw2</t>
  </si>
  <si>
    <t>elabw2</t>
  </si>
  <si>
    <t>ern1</t>
  </si>
  <si>
    <t>ertern1</t>
  </si>
  <si>
    <t>strom1</t>
  </si>
  <si>
    <t>elern1</t>
  </si>
  <si>
    <t>zusatz1</t>
  </si>
  <si>
    <t>ertern2</t>
  </si>
  <si>
    <t>ern2</t>
  </si>
  <si>
    <t>strom2</t>
  </si>
  <si>
    <t>elern2</t>
  </si>
  <si>
    <t>zusatz2</t>
  </si>
  <si>
    <t>Energiebezugsfläche EBF</t>
  </si>
  <si>
    <r>
      <t>A</t>
    </r>
    <r>
      <rPr>
        <vertAlign val="subscript"/>
        <sz val="9"/>
        <rFont val="Arial"/>
        <family val="2"/>
      </rPr>
      <t>E</t>
    </r>
  </si>
  <si>
    <t>Gebäudehüllzahl</t>
  </si>
  <si>
    <r>
      <t>A</t>
    </r>
    <r>
      <rPr>
        <vertAlign val="subscript"/>
        <sz val="9"/>
        <rFont val="Arial"/>
        <family val="2"/>
      </rPr>
      <t>th</t>
    </r>
    <r>
      <rPr>
        <sz val="9"/>
        <rFont val="Arial"/>
        <family val="2"/>
      </rPr>
      <t>/A</t>
    </r>
    <r>
      <rPr>
        <vertAlign val="subscript"/>
        <sz val="9"/>
        <rFont val="Arial"/>
        <family val="2"/>
      </rPr>
      <t>E</t>
    </r>
  </si>
  <si>
    <r>
      <t>Q</t>
    </r>
    <r>
      <rPr>
        <vertAlign val="subscript"/>
        <sz val="9"/>
        <rFont val="Arial"/>
        <family val="2"/>
      </rPr>
      <t>h,li</t>
    </r>
  </si>
  <si>
    <r>
      <t>Q</t>
    </r>
    <r>
      <rPr>
        <vertAlign val="subscript"/>
        <sz val="9"/>
        <rFont val="Arial"/>
        <family val="2"/>
      </rPr>
      <t>h,li0</t>
    </r>
  </si>
  <si>
    <r>
      <t>D</t>
    </r>
    <r>
      <rPr>
        <sz val="9"/>
        <rFont val="Arial"/>
        <family val="2"/>
      </rPr>
      <t>Q</t>
    </r>
    <r>
      <rPr>
        <vertAlign val="subscript"/>
        <sz val="9"/>
        <rFont val="Arial"/>
        <family val="2"/>
      </rPr>
      <t>h,li</t>
    </r>
  </si>
  <si>
    <t xml:space="preserve"> </t>
  </si>
  <si>
    <t>Hilfsformeln</t>
  </si>
  <si>
    <t xml:space="preserve">gültig bis </t>
  </si>
  <si>
    <t xml:space="preserve">valable jusqu'au </t>
  </si>
  <si>
    <t>Verwaltung</t>
  </si>
  <si>
    <t>Restaurant</t>
  </si>
  <si>
    <t>Hallenbad</t>
  </si>
  <si>
    <t>Qh zu gross!</t>
  </si>
  <si>
    <t>Blatt "Rechengang", Zellen AE53-AE92: Mittelwert über Heizperiode statt Jahresmittelwert Ta: Fehler korrigiert</t>
  </si>
  <si>
    <t>Blatt "Erneuerbar", Zellen U42-U43: Neuer Text: vorhanden / nicht vorhanden</t>
  </si>
  <si>
    <t>Blatt "Lueftungsanlagen", Zellen H18,28,38,48: Betriebszeiten Lüftungsanlage neu pro Lüftungsanlage separat</t>
  </si>
  <si>
    <t>Blatt "Input" und "Eingabe", Zeilen 163-166: Neue Variablen Wochen1-4 für Betriebszeiten Lüftungsanlagen</t>
  </si>
  <si>
    <t>Energienachweis</t>
  </si>
  <si>
    <t>Gemeinde:</t>
  </si>
  <si>
    <t>Bauvorhaben:</t>
  </si>
  <si>
    <t>Parz.-Nr.:</t>
  </si>
  <si>
    <t>Geb.-Nr.:</t>
  </si>
  <si>
    <t>Befreiung bei Anbauten</t>
  </si>
  <si>
    <t>Litri</t>
  </si>
  <si>
    <t>Abitazione plurifamiliare</t>
  </si>
  <si>
    <t>Abitazione monofamiliare</t>
  </si>
  <si>
    <t>Amministrazione</t>
  </si>
  <si>
    <t>Scuole</t>
  </si>
  <si>
    <t>Negozi</t>
  </si>
  <si>
    <t>Ristoranti</t>
  </si>
  <si>
    <t>Locali pubblici</t>
  </si>
  <si>
    <t>Ospedali</t>
  </si>
  <si>
    <t>Magazzini</t>
  </si>
  <si>
    <t>Impianti sportivi</t>
  </si>
  <si>
    <t>Piscine</t>
  </si>
  <si>
    <t>Riscaldamento</t>
  </si>
  <si>
    <t>ACS acqua calda sanitaria</t>
  </si>
  <si>
    <t>Riscaldamento + ACS</t>
  </si>
  <si>
    <t>msm</t>
  </si>
  <si>
    <t>Blatt "WP", bei WW-WP wird neu bei keiner Eingabe der Quellentemp. 10°C gesetzt. Anpassen X25, X32, X33</t>
  </si>
  <si>
    <t>S*</t>
  </si>
  <si>
    <t>M</t>
  </si>
  <si>
    <t>NW</t>
  </si>
  <si>
    <t>E*</t>
  </si>
  <si>
    <t>Beschreibung</t>
  </si>
  <si>
    <t>Datum</t>
  </si>
  <si>
    <t>Version</t>
  </si>
  <si>
    <t>Nr.</t>
  </si>
  <si>
    <t>Blatt "Rechengang", Zellen E15 - H15 und E29-H30 : Wärmebrückenzuschlag gelöscht</t>
  </si>
  <si>
    <t>Blatt "Rechengang", Zellen E19 - H19: Defaultwert für Klimakorrektor (bei fehlender Klimaeingabe): Zürich SMA</t>
  </si>
  <si>
    <t xml:space="preserve"> - Elektrodirektheizung : Rechenwert</t>
  </si>
  <si>
    <r>
      <t>Anteil Q</t>
    </r>
    <r>
      <rPr>
        <vertAlign val="subscript"/>
        <sz val="9"/>
        <rFont val="Arial"/>
        <family val="2"/>
      </rPr>
      <t>h</t>
    </r>
    <r>
      <rPr>
        <sz val="9"/>
        <rFont val="Arial"/>
        <family val="2"/>
      </rPr>
      <t xml:space="preserve">: Elektrodirektheizung </t>
    </r>
  </si>
  <si>
    <r>
      <t>%Q</t>
    </r>
    <r>
      <rPr>
        <vertAlign val="subscript"/>
        <sz val="9"/>
        <rFont val="Arial"/>
        <family val="2"/>
      </rPr>
      <t>ww</t>
    </r>
  </si>
  <si>
    <t>Elektro-Direkt-Anteil WW:</t>
  </si>
  <si>
    <t>elwwdir1</t>
  </si>
  <si>
    <t>elwwdir2</t>
  </si>
  <si>
    <t>elwwdir3</t>
  </si>
  <si>
    <t>elwwdir4</t>
  </si>
  <si>
    <t>Blatt "Eingaben", Zellen B24, B43, B62, B81: Neue Variablen elwwdir1-4 für Elektroanteil WW</t>
  </si>
  <si>
    <t>Blatt "Input", neue Zeilen 24, 43, 62, 81 mit neuen Variablen elwwdir1-4 für Elektroanteil WW</t>
  </si>
  <si>
    <t>Blatt "Rechengang", Zeile 11 (leer) gelöscht</t>
  </si>
  <si>
    <t>Blatt "Rechengang", Neue Zeile 20 und 21 mit neuem Elektroanteil WW und neue Variablen Elektro_WW1-4</t>
  </si>
  <si>
    <t>Blatt "Rechengang", Neue Zeile 15 mit Rechenwert für Elektrodirektheizung. Variable Elektro1-4 neu auf Zeile 15</t>
  </si>
  <si>
    <t>Blatt "Rechengang", Zeile 15: Defaultwert Elektroanteil Heizung aus Blatt WP, wenn keine Eingabe in Zeile 14</t>
  </si>
  <si>
    <t>Blatt "Rechengang", Zelle B15: Neuer Tag mit Erklärung über Eingabe Zeile 14 und Verwendung des Defaultwerts</t>
  </si>
  <si>
    <t>Blatt "Rechengang", Zeile 21: Defaultwert Elektroanteil WW aus Blatt WP, wenn keine Eingabe in Zeile 14</t>
  </si>
  <si>
    <t>Blatt "Rechengang", Zelle B21: Neuer Tag mit Erklärung über Eingabe Zeile 20 und Verwendung des Defaultwerts</t>
  </si>
  <si>
    <t>20/12 nur HT</t>
  </si>
  <si>
    <t>Fabbisogno termico per l'ACS</t>
  </si>
  <si>
    <t>Qh é troppo grande!</t>
  </si>
  <si>
    <t>Blatt "WP",Fehler bei Gewichtungsfaktoren der 3 Heiz-COP: Formeln T23 und T25: Bezug U78 durch AG78 ersetzt</t>
  </si>
  <si>
    <t>Eventualmente: contributo delle energie non rinnovabili (l'elettricità é ponderata a 2)</t>
  </si>
  <si>
    <t>All'occorrenza: bisogni d'elettricità per aerazione controllata (ponderata a 2)</t>
  </si>
  <si>
    <t>Fabbisogno termico per il riscaldamento (Qh)</t>
  </si>
  <si>
    <t>Fabbisogno di energia ammessa</t>
  </si>
  <si>
    <t>Quota massima energie non rinnovabili</t>
  </si>
  <si>
    <t>Fabbisogno d'energia ponderato</t>
  </si>
  <si>
    <t>Quota massima</t>
  </si>
  <si>
    <t>Aerazione controllata</t>
  </si>
  <si>
    <t>Copertura</t>
  </si>
  <si>
    <t>Energia rinnovabile</t>
  </si>
  <si>
    <t>Riassunto dei dati per il grafico</t>
  </si>
  <si>
    <t>Per poter adattare il grafico, questo foglio di dati non é nascosto</t>
  </si>
  <si>
    <t>Vuoto</t>
  </si>
  <si>
    <t>Linea</t>
  </si>
  <si>
    <t>Impianto di aerazione</t>
  </si>
  <si>
    <t>Progetto:</t>
  </si>
  <si>
    <t>Impianto di aerazione con recupero di calore</t>
  </si>
  <si>
    <t>Apport par m2 de surface d'abs. (facteur de réduction inclus)</t>
  </si>
  <si>
    <t xml:space="preserve"> c.a.d. condition non remplie !!!</t>
  </si>
  <si>
    <t xml:space="preserve"> c.a.d. condition remplie !</t>
  </si>
  <si>
    <t>Catégorie d'ouvrage</t>
  </si>
  <si>
    <t>Portata d'aria per infiltrazione attraverso i punti non ermetici dell'involucro quando:</t>
  </si>
  <si>
    <t>Impianto di aerazione controllata funziona</t>
  </si>
  <si>
    <t>Impianto di aerazione controllata é spento</t>
  </si>
  <si>
    <t>Spento</t>
  </si>
  <si>
    <t>Fase 1</t>
  </si>
  <si>
    <t>Fase 2</t>
  </si>
  <si>
    <t>Fase 3</t>
  </si>
  <si>
    <t>Calcolo</t>
  </si>
  <si>
    <t>Allegato / Pagina:</t>
  </si>
  <si>
    <t>Dati dell'edificio</t>
  </si>
  <si>
    <t>Altitudine :</t>
  </si>
  <si>
    <t>Stazione climatica:</t>
  </si>
  <si>
    <t>(Sulla base di calcolo del fabbisogno termico  per il riscaldamento secondo le norme SIA 380/1)</t>
  </si>
  <si>
    <t>Zone termiche</t>
  </si>
  <si>
    <t>(media)</t>
  </si>
  <si>
    <t>Rapporto di forma</t>
  </si>
  <si>
    <t>Fabbisogno termico per riscaldamento</t>
  </si>
  <si>
    <t>Valore limite per il fabbisogno termico</t>
  </si>
  <si>
    <t>Quota Qww: riscaldamento elettrico diretto</t>
  </si>
  <si>
    <t xml:space="preserve"> - Riscaldamento elettrico diretto:
valore calcolato</t>
  </si>
  <si>
    <t xml:space="preserve"> Preuve calculée avec le tableur Excel «Rechnach.xls».</t>
  </si>
  <si>
    <t xml:space="preserve">Part maximale d'énergies non renouvelables </t>
  </si>
  <si>
    <t>Surface d'absorbeurs ne correspond pas à la feuille 'WP'</t>
  </si>
  <si>
    <t>Rendement récupération de chaleur</t>
  </si>
  <si>
    <t xml:space="preserve"> Part Qww produite par résistance électr. (pondérée d’un facteur 2)</t>
  </si>
  <si>
    <t xml:space="preserve"> - Chauffage électrique direct: valeur calculée</t>
  </si>
  <si>
    <t>Qh est trop grand!</t>
  </si>
  <si>
    <t>Qh  est plus grand que Qh,li --&gt; Exigences concernant l'isolation page 2!</t>
  </si>
  <si>
    <t>Besoins de chaleur pour le chauffage Qh,eff:</t>
  </si>
  <si>
    <t>Chauffage électrique direct, valeur de calcul:</t>
  </si>
  <si>
    <t>Par défaut, la part couverte par l'électricité pour le chauffage de l'ECS est reprise de la feuille WP, dans le cas où un chauffage électrique pour post-chauffage ou chauffage en parallèle de l'ECS y est mentionné. Sinon, la valeur par défaut est zéro.</t>
  </si>
  <si>
    <t>La valeur calculée reprend la valeur par défaut, pour autant qu'aucune valeur ne figure dans la cellule 20.</t>
  </si>
  <si>
    <t>Installation (description):</t>
  </si>
  <si>
    <t>Apport par m2 de surface d'absorbeur, selon feuille de calcul 'WP'</t>
  </si>
  <si>
    <t>respectée?</t>
  </si>
  <si>
    <t>Ja</t>
  </si>
  <si>
    <t>No !</t>
  </si>
  <si>
    <t>Produzione di elettricità dell'impianto</t>
  </si>
  <si>
    <t>Consumo elettrico per questa produzione d'energia</t>
  </si>
  <si>
    <t>È necessaria altra energia non rinnovabile ?</t>
  </si>
  <si>
    <t>Contributo termica delle altre energie non rinnovabili</t>
  </si>
  <si>
    <t>Contributo in elettricità delle altre energie non rinnovabili</t>
  </si>
  <si>
    <t>ACS</t>
  </si>
  <si>
    <t xml:space="preserve">Aria </t>
  </si>
  <si>
    <t>Suolo</t>
  </si>
  <si>
    <t>Acqua</t>
  </si>
  <si>
    <t>Funzionamento unicamente estivo</t>
  </si>
  <si>
    <t>Funzionamento annuale</t>
  </si>
  <si>
    <t>Disponibile</t>
  </si>
  <si>
    <t>Non disponibile</t>
  </si>
  <si>
    <t>Senza energia supplementare</t>
  </si>
  <si>
    <t>Energia supplementare necessaria</t>
  </si>
  <si>
    <t>Verifica energetica</t>
  </si>
  <si>
    <t>Quota di energia non rinnovabile</t>
  </si>
  <si>
    <t>Soluzione tramite calcolo</t>
  </si>
  <si>
    <t>Comune:</t>
  </si>
  <si>
    <t>N° part.:</t>
  </si>
  <si>
    <t>N° fabbr.:</t>
  </si>
  <si>
    <t>Dispensa per aggiunte</t>
  </si>
  <si>
    <t>Ae nuova:</t>
  </si>
  <si>
    <t>Ae esistente:</t>
  </si>
  <si>
    <t>Quota:</t>
  </si>
  <si>
    <t>Isolazione termica</t>
  </si>
  <si>
    <t>Aerazione</t>
  </si>
  <si>
    <t>Prova calcolata con il tool Excel «Rechnach.xls».</t>
  </si>
  <si>
    <t>Fabbisogno di calore ammesso per riscaldamento e acqua calda sanitaria:</t>
  </si>
  <si>
    <t>Valori limite</t>
  </si>
  <si>
    <t>Fabbisogno termico per l' ACS</t>
  </si>
  <si>
    <t>80% di</t>
  </si>
  <si>
    <t>Non rinnovabili:</t>
  </si>
  <si>
    <t>Fabbisogno termico secondo norma SIA 380/1 (edizione 2009)</t>
  </si>
  <si>
    <t>Fabbisogno elettrico per impianti di aerazione controllata</t>
  </si>
  <si>
    <t>Fabbisogno effettivo per il riscaldamento +ACS</t>
  </si>
  <si>
    <t>Apporto netto di energie rinnovabili (allegare il calcolo)</t>
  </si>
  <si>
    <t>Quota coperta dalle energie non rinnovabili, secondo il calcolo:</t>
  </si>
  <si>
    <t>Bilancio</t>
  </si>
  <si>
    <t>Indici:</t>
  </si>
  <si>
    <t>Isolazione:</t>
  </si>
  <si>
    <t>Allegati / Spiegazioni</t>
  </si>
  <si>
    <t>Firme</t>
  </si>
  <si>
    <t>Verifica elaborata da:</t>
  </si>
  <si>
    <t>Nome, indirizzo</t>
  </si>
  <si>
    <t>risp. timbro della ditta</t>
  </si>
  <si>
    <t>Responsabile, tel:</t>
  </si>
  <si>
    <t>Luogo, data, firma:</t>
  </si>
  <si>
    <t>Controllo esecuzione:</t>
  </si>
  <si>
    <t xml:space="preserve">      stessa persona</t>
  </si>
  <si>
    <t xml:space="preserve">valevole fino al </t>
  </si>
  <si>
    <t>Ae dell'ampliamento o sopraelevazione senza parte esistente</t>
  </si>
  <si>
    <t>Categoria dell'edificio</t>
  </si>
  <si>
    <t>Part Qww: chauffage électrique direct ECS</t>
  </si>
  <si>
    <t>Renouvelable</t>
  </si>
  <si>
    <t>Blatt EN-1c</t>
  </si>
  <si>
    <t>Blatt Rechengang</t>
  </si>
  <si>
    <t>Blatt Erneuerbar</t>
  </si>
  <si>
    <t>Blatt Lueftungsanlagen</t>
  </si>
  <si>
    <t>Blatt Resultat grafisch</t>
  </si>
  <si>
    <t>Sprachversion</t>
  </si>
  <si>
    <t>deutsch</t>
  </si>
  <si>
    <t>französisch</t>
  </si>
  <si>
    <t>Données concernant le bâtiment</t>
  </si>
  <si>
    <t>Surface de référence énergétique SRE</t>
  </si>
  <si>
    <t xml:space="preserve">Station climatique:    </t>
  </si>
  <si>
    <t>Catégorie d'ouvrages</t>
  </si>
  <si>
    <t>Source de chaleur</t>
  </si>
  <si>
    <t xml:space="preserve">      Non soumis au respect de la part maximale d’énergies non renouvelables (transformation, agrandissement, surélévation)</t>
  </si>
  <si>
    <t>EBF neu:</t>
  </si>
  <si>
    <t xml:space="preserve">EBF neu: </t>
  </si>
  <si>
    <t xml:space="preserve">SRE neuf: </t>
  </si>
  <si>
    <t xml:space="preserve">EBF bestehend: </t>
  </si>
  <si>
    <t xml:space="preserve">SRE existant: </t>
  </si>
  <si>
    <t xml:space="preserve">Anteil: </t>
  </si>
  <si>
    <t xml:space="preserve">part: </t>
  </si>
  <si>
    <t>Wärmedämmung</t>
  </si>
  <si>
    <t>Isolation thermique</t>
  </si>
  <si>
    <t>Ventilation</t>
  </si>
  <si>
    <t xml:space="preserve"> Preuve calculée</t>
  </si>
  <si>
    <t xml:space="preserve"> Besoins autorisés de chaleur pour chauffage et eau chaude sanitaire:</t>
  </si>
  <si>
    <t xml:space="preserve"> Valeurs limites</t>
  </si>
  <si>
    <t xml:space="preserve"> besoins pour chauffage</t>
  </si>
  <si>
    <t xml:space="preserve"> besoins pour eau chaude sanitaire</t>
  </si>
  <si>
    <t xml:space="preserve"> 80% von  </t>
  </si>
  <si>
    <t xml:space="preserve"> 80 % de</t>
  </si>
  <si>
    <t>Höchstanteil mit nichterneuerbarer Energie gedeckter Bedarf</t>
  </si>
  <si>
    <r>
      <t>u</t>
    </r>
    <r>
      <rPr>
        <sz val="9"/>
        <rFont val="Arial"/>
        <family val="2"/>
      </rPr>
      <t xml:space="preserve">  = </t>
    </r>
  </si>
  <si>
    <t xml:space="preserve"> Besoins de chaleur pour chauffage et eau chaude sanitaire couverts par des énergies</t>
  </si>
  <si>
    <t xml:space="preserve"> non renouvelables:</t>
  </si>
  <si>
    <t xml:space="preserve"> Heizwärmebedarf Qh gem. Norm SIA 380/1 (Ausgabe 2009)</t>
  </si>
  <si>
    <t xml:space="preserve"> Besoins de chaleur selon norme SIA 380/1 (édition 2009)</t>
  </si>
  <si>
    <t xml:space="preserve"> Besoins en électricité pour l’installation de renouvellement d’air</t>
  </si>
  <si>
    <t xml:space="preserve"> Besoins de chaleur pour eau chaude sanitaire</t>
  </si>
  <si>
    <t xml:space="preserve"> Anteil QWW mit elektrischem Widerstand (El. doppelt gewichtet)</t>
  </si>
  <si>
    <t xml:space="preserve"> Besoins effectifs chauffage + ECS</t>
  </si>
  <si>
    <t xml:space="preserve"> Apport net d’énergies renouvelables (joindre le calcul):</t>
  </si>
  <si>
    <t xml:space="preserve"> Part couverte par énergies non renouvelables, selon calcul:</t>
  </si>
  <si>
    <r>
      <t>y</t>
    </r>
    <r>
      <rPr>
        <b/>
        <sz val="10"/>
        <rFont val="Arial"/>
        <family val="2"/>
      </rPr>
      <t xml:space="preserve"> &lt;= </t>
    </r>
    <r>
      <rPr>
        <sz val="12"/>
        <rFont val="Wingdings 2"/>
        <family val="1"/>
      </rPr>
      <t>v</t>
    </r>
  </si>
  <si>
    <t xml:space="preserve"> Bilanz</t>
  </si>
  <si>
    <t xml:space="preserve"> a </t>
  </si>
  <si>
    <t xml:space="preserve"> Bilan</t>
  </si>
  <si>
    <t>Indices:</t>
  </si>
  <si>
    <t xml:space="preserve">Part maximale énergies non renouvelables:   </t>
  </si>
  <si>
    <t xml:space="preserve">Isolation:   </t>
  </si>
  <si>
    <t xml:space="preserve">Wärmedämmung:   </t>
  </si>
  <si>
    <t>Annexes/Explications</t>
  </si>
  <si>
    <t>Signatures</t>
  </si>
  <si>
    <t xml:space="preserve"> Justificatif établi par:</t>
  </si>
  <si>
    <t xml:space="preserve"> Contrôle du justificatif/Contrôle privé:</t>
  </si>
  <si>
    <t xml:space="preserve"> Le justificatif est certifié complet et correct:</t>
  </si>
  <si>
    <t>Nom et adresse,</t>
  </si>
  <si>
    <t>ou tampon de l’entreprise</t>
  </si>
  <si>
    <t>Responsable, tél.:</t>
  </si>
  <si>
    <t>Lieu, date, signature:</t>
  </si>
  <si>
    <t>Contrôle d’exécution:</t>
  </si>
  <si>
    <t xml:space="preserve">     même personne</t>
  </si>
  <si>
    <t>ou:</t>
  </si>
  <si>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</si>
  <si>
    <t>EBF der Erweiterung oder Aufstockung, ohne Altbauteil.</t>
  </si>
  <si>
    <r>
      <t>[Q</t>
    </r>
    <r>
      <rPr>
        <vertAlign val="subscript"/>
        <sz val="8"/>
        <rFont val="Arial"/>
        <family val="2"/>
      </rPr>
      <t>h</t>
    </r>
    <r>
      <rPr>
        <sz val="8"/>
        <rFont val="Arial"/>
        <family val="2"/>
      </rPr>
      <t xml:space="preserve"> x (1+f</t>
    </r>
    <r>
      <rPr>
        <vertAlign val="subscript"/>
        <sz val="8"/>
        <rFont val="Arial"/>
        <family val="2"/>
      </rPr>
      <t>eh</t>
    </r>
    <r>
      <rPr>
        <sz val="8"/>
        <rFont val="Arial"/>
        <family val="2"/>
      </rPr>
      <t>)] + [Q</t>
    </r>
    <r>
      <rPr>
        <vertAlign val="subscript"/>
        <sz val="8"/>
        <rFont val="Arial"/>
        <family val="2"/>
      </rPr>
      <t>ww</t>
    </r>
    <r>
      <rPr>
        <sz val="8"/>
        <rFont val="Arial"/>
        <family val="2"/>
      </rPr>
      <t xml:space="preserve"> x (1+f</t>
    </r>
    <r>
      <rPr>
        <vertAlign val="subscript"/>
        <sz val="8"/>
        <rFont val="Arial"/>
        <family val="2"/>
      </rPr>
      <t>ed</t>
    </r>
    <r>
      <rPr>
        <sz val="8"/>
        <rFont val="Arial"/>
        <family val="2"/>
      </rPr>
      <t>)] + 2xE</t>
    </r>
    <r>
      <rPr>
        <vertAlign val="subscript"/>
        <sz val="8"/>
        <rFont val="Arial"/>
        <family val="2"/>
      </rPr>
      <t>LA</t>
    </r>
    <r>
      <rPr>
        <sz val="8"/>
        <rFont val="Arial"/>
        <family val="2"/>
      </rPr>
      <t xml:space="preserve"> </t>
    </r>
    <r>
      <rPr>
        <sz val="9"/>
        <rFont val="Arial"/>
        <family val="2"/>
      </rPr>
      <t xml:space="preserve">= </t>
    </r>
  </si>
  <si>
    <t>puota massima di energie non rinnovabili</t>
  </si>
  <si>
    <t xml:space="preserve">Fabbisogno termico per riscaldamento e ACS coperti dalle energie  </t>
  </si>
  <si>
    <t>Quota massima di energie non rinnovabili:</t>
  </si>
  <si>
    <t>Controllo della verifica / Controllo esterno:</t>
  </si>
  <si>
    <t>Si attesta la completezza e
la correttezza:</t>
  </si>
  <si>
    <t>oppure:</t>
  </si>
  <si>
    <t>Zu deckender Bedarf  für Warmwasser</t>
  </si>
  <si>
    <t>Zu deckender Bedarf (Heizung und Warmwasser)</t>
  </si>
  <si>
    <t>Wärmeproduktion der WP:</t>
  </si>
  <si>
    <t>Wärme-Beitrag der WP an Heizung und Warmwasser</t>
  </si>
  <si>
    <t>Anteil der durch die Wärmepumpe gedeckt wird:</t>
  </si>
  <si>
    <t>Strombedarf der WP</t>
  </si>
  <si>
    <t>Holzheizungen</t>
  </si>
  <si>
    <t>Produktion der Holzheizung:</t>
  </si>
  <si>
    <t>Nettobeitrag der Holzheizung</t>
  </si>
  <si>
    <t>Wärmeproduktion der Abwärmenutzung:</t>
  </si>
  <si>
    <t>Stromaufwand der Abwärmenutzung:</t>
  </si>
  <si>
    <t>Wärme-Beitrag der Abwärmenutzung</t>
  </si>
  <si>
    <t>Andere erneuerbare Energien</t>
  </si>
  <si>
    <t>Wärmeproduktion der Anlage:</t>
  </si>
  <si>
    <t>Stromproduktion der Anlage:</t>
  </si>
  <si>
    <t>Stromaufwand für diese Energieproduktion:</t>
  </si>
  <si>
    <t>Wärme-Beitrag der anderen erneuerbaren Energien</t>
  </si>
  <si>
    <t>Strom-Beitrag der anderen erneuerbaren Energien</t>
  </si>
  <si>
    <t xml:space="preserve">Datenzusammenstellung für die Grafik. </t>
  </si>
  <si>
    <t>Um die Grafik nachvollziehen zu können, wurde diese Zahlenliste nicht versteckt.</t>
  </si>
  <si>
    <t>zulässiger Energiebedarf</t>
  </si>
  <si>
    <t>Höchstanteil nichterneuerbare Energien</t>
  </si>
  <si>
    <t>Deckung mit nichterneuerbaren Energien</t>
  </si>
  <si>
    <t>gewichteter Energiebedarf</t>
  </si>
  <si>
    <t>Leer</t>
  </si>
  <si>
    <t>HgH+WW</t>
  </si>
  <si>
    <t>Höchstanteil</t>
  </si>
  <si>
    <t>§ 10a EnG</t>
  </si>
  <si>
    <t>2 Qe</t>
  </si>
  <si>
    <t>mech. LA</t>
  </si>
  <si>
    <t>Qdeck</t>
  </si>
  <si>
    <t>Qern.E</t>
  </si>
  <si>
    <t>ern.Energie</t>
  </si>
  <si>
    <t>Linie</t>
  </si>
  <si>
    <t>Thermische Zone</t>
  </si>
  <si>
    <t>Schule</t>
  </si>
  <si>
    <t>Verkauf</t>
  </si>
  <si>
    <t>Spitäler</t>
  </si>
  <si>
    <t>Lager</t>
  </si>
  <si>
    <t>Sportbau</t>
  </si>
  <si>
    <t>Details für Zone 2</t>
  </si>
  <si>
    <t>Details für Zone 1</t>
  </si>
  <si>
    <t>Details für Zone 3</t>
  </si>
  <si>
    <t>Details für Zone 4</t>
  </si>
  <si>
    <t>(Diese sind der Heizwärmebedarfsberechnung gemäss SIA 380/1 zu entnehmen.)</t>
  </si>
  <si>
    <t>Grenzwert Heizwärmebedarf</t>
  </si>
  <si>
    <t>Heizwärmebedarf</t>
  </si>
  <si>
    <t>Grenzwerte</t>
  </si>
  <si>
    <t>h</t>
  </si>
  <si>
    <t>Heizung</t>
  </si>
  <si>
    <t>Warmwasser</t>
  </si>
  <si>
    <t>Therm.wirksamer Aussenl.-V.str.</t>
  </si>
  <si>
    <t>Volumenstrom Lüftungsanlage</t>
  </si>
  <si>
    <t>(Der thermisch wirksame Aussenluft-Volumenstrom ist in der Heizwärmebedarfsberechnung (SIA 380/1) einzusetzen.)</t>
  </si>
  <si>
    <t>Aussenluft-Volumenstrom nach Gebäudekategorie</t>
  </si>
  <si>
    <t>Contribution des énergies renouvelables</t>
  </si>
  <si>
    <t>Installations solaires</t>
  </si>
  <si>
    <t>Installation (description)</t>
  </si>
  <si>
    <t>Domaine (chauffage ou production d'eau chaude)</t>
  </si>
  <si>
    <t>- Eingabe (Berechnung beilegen)</t>
  </si>
  <si>
    <t>- Entrée (joindre calcul)</t>
  </si>
  <si>
    <t>Production de l'installation solaire :</t>
  </si>
  <si>
    <t>Besoins à couvrir</t>
  </si>
  <si>
    <t>Couverture des besoins par l'installation solaire</t>
  </si>
  <si>
    <t>Production nette de l'installation solaire</t>
  </si>
  <si>
    <t>Absorberfläche stimmt nicht mit Blatt 'WP' überein</t>
  </si>
  <si>
    <t>Pompe à chaleur (PAC)</t>
  </si>
  <si>
    <t>Pour le chauffe-eau-pompe à chaleur</t>
  </si>
  <si>
    <t>Coefficient de performance annuel (sans calcul complémentaires)</t>
  </si>
  <si>
    <t>Puissance électrique moyenne de la PAC</t>
  </si>
  <si>
    <t>Besoins à couvrir pour le chauffage</t>
  </si>
  <si>
    <t>Besoins à couvrir pour l'eau chaude</t>
  </si>
  <si>
    <t>Besoins à couvrir (chauffage et eau chaude)</t>
  </si>
  <si>
    <t>Production de chaleur de la PAC</t>
  </si>
  <si>
    <t>Contribution de la PAC pour le chauffage et l'eau chaude</t>
  </si>
  <si>
    <t>Part qui est couverte par la PAC</t>
  </si>
  <si>
    <t>Besoins d'électricité de la PAC</t>
  </si>
  <si>
    <t>Stockage de bois et accumulateur de chaleur disponibles ?</t>
  </si>
  <si>
    <t>Production du chauffage au bois</t>
  </si>
  <si>
    <t>Besoins à couvrir (chauffage + eau chaude)</t>
  </si>
  <si>
    <t>Contribution nette du chauffage au bois</t>
  </si>
  <si>
    <t>Production de chaleur de l'exploitation des rejets thermiques</t>
  </si>
  <si>
    <t>Dépense d'électricité de l'exploitation des rejets thermiques</t>
  </si>
  <si>
    <t>Contribution en chaleur de l'exploitation des rejets thermiques</t>
  </si>
  <si>
    <t>Production de chaleur de l'installation</t>
  </si>
  <si>
    <t>Production d'électricité de l'installation</t>
  </si>
  <si>
    <t>Dépense d'électricité pour cette production d'énergie</t>
  </si>
  <si>
    <t>Aucune autre énergie non renouvelable nécessaire ?</t>
  </si>
  <si>
    <t>Contribution en chaleur des autres énergies renouvelables</t>
  </si>
  <si>
    <t>Contribution en électricité des autres énergies renouvelables</t>
  </si>
  <si>
    <t>Installation de ventilation avec récupération de chaleur</t>
  </si>
  <si>
    <t>Fonct.:</t>
  </si>
  <si>
    <t>sem./an</t>
  </si>
  <si>
    <t>Besoins en électricité pour ventilation</t>
  </si>
  <si>
    <t>- entrée (joindre le calcul)</t>
  </si>
  <si>
    <t>Détails pour zone 1</t>
  </si>
  <si>
    <t>Débit d'air neuf thermiquement actif</t>
  </si>
  <si>
    <t>(Le débit d'air neuf thermiquement actif doit être reporté dans le calcul des besoins de chaleur (SIA 380/1))</t>
  </si>
  <si>
    <t>Installation de ventilation</t>
  </si>
  <si>
    <t>Débit d'air</t>
  </si>
  <si>
    <t>Ganzjahres-Betrieb</t>
  </si>
  <si>
    <t>WP-Boiler</t>
  </si>
  <si>
    <t>bei Wärmepumpen-Boiler</t>
  </si>
  <si>
    <t>Sind Speicher+Holzlager vorhanden?</t>
  </si>
  <si>
    <t>Zusatzenergie</t>
  </si>
  <si>
    <t>keine Zusatzenergie</t>
  </si>
  <si>
    <t>Zusatzenergie nötig</t>
  </si>
  <si>
    <t>Klimastation</t>
  </si>
  <si>
    <t>Raumhöhe:</t>
  </si>
  <si>
    <t>proj1</t>
  </si>
  <si>
    <t>proj2</t>
  </si>
  <si>
    <t>proj3</t>
  </si>
  <si>
    <t>klima</t>
  </si>
  <si>
    <t>kat1</t>
  </si>
  <si>
    <t>ebfo1</t>
  </si>
  <si>
    <t>ebf1</t>
  </si>
  <si>
    <t>aebf1</t>
  </si>
  <si>
    <t>qh1</t>
  </si>
  <si>
    <t>eldir1</t>
  </si>
  <si>
    <t>raumh1</t>
  </si>
  <si>
    <t>wrg1</t>
  </si>
  <si>
    <t>h11</t>
  </si>
  <si>
    <t>h21</t>
  </si>
  <si>
    <t>v11</t>
  </si>
  <si>
    <t>v21</t>
  </si>
  <si>
    <t>v31</t>
  </si>
  <si>
    <t>pel11</t>
  </si>
  <si>
    <t>el1</t>
  </si>
  <si>
    <t>pel21</t>
  </si>
  <si>
    <t>pel31</t>
  </si>
  <si>
    <t>h31</t>
  </si>
  <si>
    <t>kat2</t>
  </si>
  <si>
    <t>ebfo2</t>
  </si>
  <si>
    <t>ebf2</t>
  </si>
  <si>
    <t>aebf2</t>
  </si>
  <si>
    <t>qh2</t>
  </si>
  <si>
    <t>eldir2</t>
  </si>
  <si>
    <t>raumh2</t>
  </si>
  <si>
    <t>el2</t>
  </si>
  <si>
    <t>wrg2</t>
  </si>
  <si>
    <t>v12</t>
  </si>
  <si>
    <t>v22</t>
  </si>
  <si>
    <t>v32</t>
  </si>
  <si>
    <t>pel12</t>
  </si>
  <si>
    <t>pel22</t>
  </si>
  <si>
    <t>pel32</t>
  </si>
  <si>
    <t>h12</t>
  </si>
  <si>
    <t>h22</t>
  </si>
  <si>
    <t>h32</t>
  </si>
  <si>
    <t>kat3</t>
  </si>
  <si>
    <t>ebfo3</t>
  </si>
  <si>
    <t>ebf3</t>
  </si>
  <si>
    <t>aebf3</t>
  </si>
  <si>
    <t>qh3</t>
  </si>
  <si>
    <t>eldir3</t>
  </si>
  <si>
    <t>raumh3</t>
  </si>
  <si>
    <t>el3</t>
  </si>
  <si>
    <t>wrg3</t>
  </si>
  <si>
    <t>v13</t>
  </si>
  <si>
    <t>v23</t>
  </si>
  <si>
    <t>v33</t>
  </si>
  <si>
    <t>pel13</t>
  </si>
  <si>
    <t>pel23</t>
  </si>
  <si>
    <t>pel33</t>
  </si>
  <si>
    <t>h13</t>
  </si>
  <si>
    <t>h23</t>
  </si>
  <si>
    <t>h33</t>
  </si>
  <si>
    <t>kat4</t>
  </si>
  <si>
    <t>ebfo4</t>
  </si>
  <si>
    <t>ebf4</t>
  </si>
  <si>
    <t>aebf4</t>
  </si>
  <si>
    <t>qh4</t>
  </si>
  <si>
    <t>raumh4</t>
  </si>
  <si>
    <t>eldir4</t>
  </si>
  <si>
    <t>el4</t>
  </si>
  <si>
    <t>wrg4</t>
  </si>
  <si>
    <t>v14</t>
  </si>
  <si>
    <t>v24</t>
  </si>
  <si>
    <t>v34</t>
  </si>
  <si>
    <t>pel14</t>
  </si>
  <si>
    <t>pel24</t>
  </si>
  <si>
    <t>pel34</t>
  </si>
  <si>
    <t>h14</t>
  </si>
  <si>
    <t>h24</t>
  </si>
  <si>
    <t>h34</t>
  </si>
  <si>
    <t>sol1</t>
  </si>
  <si>
    <t>sol2</t>
  </si>
  <si>
    <t>einsol1</t>
  </si>
  <si>
    <t>fabs1</t>
  </si>
  <si>
    <t>ertsol1</t>
  </si>
  <si>
    <t>einsol2</t>
  </si>
  <si>
    <t>fabs2</t>
  </si>
  <si>
    <t>ertsol2</t>
  </si>
  <si>
    <t>wp1</t>
  </si>
  <si>
    <t>quel1</t>
  </si>
  <si>
    <t>einwp1</t>
  </si>
  <si>
    <t>wpboil1</t>
  </si>
  <si>
    <t>jaz1</t>
  </si>
  <si>
    <t>elwp1</t>
  </si>
  <si>
    <t>lauf1</t>
  </si>
  <si>
    <t>wp2</t>
  </si>
  <si>
    <t>quel2</t>
  </si>
  <si>
    <t>einwp2</t>
  </si>
  <si>
    <t>wpboil2</t>
  </si>
  <si>
    <t>jaz2</t>
  </si>
  <si>
    <t>elwp2</t>
  </si>
  <si>
    <t>lauf2</t>
  </si>
  <si>
    <t>holz1</t>
  </si>
  <si>
    <t>sp1</t>
  </si>
  <si>
    <t>ertholz1</t>
  </si>
  <si>
    <t>holz2</t>
  </si>
  <si>
    <t>funzionam.</t>
  </si>
  <si>
    <t>Angaben in MJ/m2a</t>
  </si>
  <si>
    <t>Données en MJ/m2 a</t>
  </si>
  <si>
    <t>Deckung mit nichterneuerbarer Energie zulässig (Höchstanteil nichterneuerb. E.)</t>
  </si>
  <si>
    <t>Couverture autorisée avec de l'énergie non renouvelable QmaxNR</t>
  </si>
  <si>
    <t>Deckung durch bessere Wärmedämmung erneuerbare Energie oder Abwärme</t>
  </si>
  <si>
    <t>Couverture par une amélioration de l'isolation thermique, des énergies renouvelables ou des rejets thermiques</t>
  </si>
  <si>
    <t>Besoins de chaleur pour l'eau chaude sanitaire (Qww)</t>
  </si>
  <si>
    <t>Grenzwert Heizenergiebedarf (Qh,li)</t>
  </si>
  <si>
    <t>Valeur limite des besoins de chaleur pour le chauffage (Qh,li)</t>
  </si>
  <si>
    <t>Deckung durch nichterneuerbare Energie</t>
  </si>
  <si>
    <t>Couverture par de l'énergie non renouvelable QNR</t>
  </si>
  <si>
    <t>evtl.: Beitrag erneuerbare Energie (Netto! Strom doppelt gewichtet)</t>
  </si>
  <si>
    <t>Evt: contribution d'énergies renouvelables 
(l'électricité est pondérée à double)</t>
  </si>
  <si>
    <t>falls vorhanden: Strombedarf mech. Lüftungsanlagen (doppelt gewichtet)</t>
  </si>
  <si>
    <t>Le cas échéant: besoins d'électricité pour ventilation mécanique (pondérée à double)</t>
  </si>
  <si>
    <t>Besoins de chaleur pour le chauffage (Qh)</t>
  </si>
  <si>
    <t>Besoins d'énergie admissibles</t>
  </si>
  <si>
    <t>Part max énergies non renouvelables</t>
  </si>
  <si>
    <t>Couverture par énergies non renouvelables</t>
  </si>
  <si>
    <t>Besoins d'énergies pondérés</t>
  </si>
  <si>
    <t>Part max.</t>
  </si>
  <si>
    <t>Vent. Méc.</t>
  </si>
  <si>
    <t>Energie ren.</t>
  </si>
  <si>
    <t>Résumé des données pour le graphique</t>
  </si>
  <si>
    <t>Afin de pouvoir adapter le graphique, cette feuille de données n'est pas cachée</t>
  </si>
  <si>
    <t>Vide</t>
  </si>
  <si>
    <t>Ligne</t>
  </si>
  <si>
    <t>Neues Blatt "EN-1c"</t>
  </si>
  <si>
    <t>Einbezug von Solaranlagen im Blatt WP</t>
  </si>
  <si>
    <t>Neues Blatt "Sprache". Umschaltbare Sprachversionen eingefügt</t>
  </si>
  <si>
    <t>français</t>
  </si>
  <si>
    <t>italiano</t>
  </si>
  <si>
    <t>Programm-Version:</t>
  </si>
  <si>
    <t>gültig bis:</t>
  </si>
  <si>
    <t>Liter</t>
  </si>
  <si>
    <t>Litres</t>
  </si>
  <si>
    <t>Habitat collectif</t>
  </si>
  <si>
    <t>Habitat individuel</t>
  </si>
  <si>
    <t>Administration</t>
  </si>
  <si>
    <t>Ecole</t>
  </si>
  <si>
    <t>Commerces</t>
  </si>
  <si>
    <t>Restauration</t>
  </si>
  <si>
    <t>Hôpitaux</t>
  </si>
  <si>
    <t>Dépôts</t>
  </si>
  <si>
    <t>Piscines</t>
  </si>
  <si>
    <t>Chauffage</t>
  </si>
  <si>
    <t>ECS</t>
  </si>
  <si>
    <t>Chauffage+ECS</t>
  </si>
  <si>
    <t>Lieux rassemblement</t>
  </si>
  <si>
    <t>Qh  ist grösser als Qh,li --&gt; Wärmedämmvorschriften Seite 2!</t>
  </si>
  <si>
    <t>Elektrodirektheizung,  Rechenwert:</t>
  </si>
  <si>
    <t>Als Vorschlagswert wird der Elektro-Anteil für das Warmwasser aus dem Blatt WP genommen, falls dort Elektro-Einsatz zur Nachwärmung oder im Parallelbetrieb bei der Wassererwärmung angewählt wurde, ansonsten ist der Vorschlagswert Null.</t>
  </si>
  <si>
    <t>Der Rechenwert übernimmt den Vorschlagswert, sofern in der Zeile 20 kein Wert eingegeben wird.</t>
  </si>
  <si>
    <t>Ertrag pro m² Absorberfläche aus Berechnungsblatt 'WP'</t>
  </si>
  <si>
    <t>Projet:</t>
  </si>
  <si>
    <t>Commune:</t>
  </si>
  <si>
    <t>Justificatif énergétique</t>
  </si>
  <si>
    <t>Part d’énergies non renouvelables</t>
  </si>
  <si>
    <t>Preuve calculée</t>
  </si>
  <si>
    <t>N° cadastre:</t>
  </si>
  <si>
    <t>N° bâtiment:</t>
  </si>
  <si>
    <t>Exemption</t>
  </si>
  <si>
    <t>Progetto</t>
  </si>
  <si>
    <t>Stazione climatica</t>
  </si>
  <si>
    <t>Superficie di riferimento energetico Ae</t>
  </si>
  <si>
    <t>Categoria d'edificio</t>
  </si>
  <si>
    <t>Impianto solare</t>
  </si>
  <si>
    <t>Superficie dell'assorbitore</t>
  </si>
  <si>
    <r>
      <t>Q</t>
    </r>
    <r>
      <rPr>
        <vertAlign val="subscript"/>
        <sz val="9"/>
        <rFont val="Arial"/>
        <family val="2"/>
      </rPr>
      <t>h+ww, li</t>
    </r>
  </si>
  <si>
    <t>Qh,li</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</si>
  <si>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</si>
  <si>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</si>
  <si>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</si>
  <si>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</si>
  <si>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</si>
  <si>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</si>
  <si>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</si>
  <si>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</si>
  <si>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</si>
  <si>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</si>
  <si>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</si>
  <si>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</si>
  <si>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</si>
  <si>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</si>
  <si>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</si>
  <si>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</si>
  <si>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</si>
  <si>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</si>
  <si>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FL</t>
  </si>
  <si>
    <t>AE</t>
  </si>
  <si>
    <t>P</t>
  </si>
  <si>
    <t>SE</t>
  </si>
  <si>
    <t>Blatt "Rechengang", Zellen E18-H18: Falsch berechneter Grenzwert wenn Thetaea &lt; 0 (Gr. St. Bernhard). Anpassen.</t>
  </si>
  <si>
    <t>Falls eine andere Prozentzahl als 80% als Bedingung für den Höchstanteil angesetzt ist, ist hier ersichtlich, ob die Anforderung erfüllt ist.</t>
  </si>
  <si>
    <t>Cette valeur permet de vérifier si la part maximale est respectée dans le cas où les exigences sont différentes de 80%.</t>
  </si>
  <si>
    <t>Se la percentuale massima ammessa é diversa da 80%, si può verificare qui se il requisito è soddisfatto.</t>
  </si>
  <si>
    <t>sett /anno</t>
  </si>
  <si>
    <t>Quota Qww prodotta dalle resistenze elettriche, ponderate con un fattore 2</t>
  </si>
  <si>
    <t>Calcul</t>
  </si>
  <si>
    <t>Lueftungsanlagen</t>
  </si>
  <si>
    <t>- selon le tableau ci-dessous</t>
  </si>
  <si>
    <t>- gemäss untenstehender Tab.</t>
  </si>
  <si>
    <t xml:space="preserve">Gebäudekategorie: </t>
  </si>
  <si>
    <t xml:space="preserve">Catégorie d'ouvrage: </t>
  </si>
  <si>
    <r>
      <t>V'/A</t>
    </r>
    <r>
      <rPr>
        <vertAlign val="subscript"/>
        <sz val="9"/>
        <rFont val="Arial"/>
        <family val="2"/>
      </rPr>
      <t>E</t>
    </r>
  </si>
  <si>
    <t>Resultat grafisch</t>
  </si>
  <si>
    <t>Resultat graphique</t>
  </si>
  <si>
    <t>Wärmedämmung ungenügend! --&gt; Wärmedämmvorschriften (Seite 2)</t>
  </si>
  <si>
    <t>Isolation insuffisante! --&gt; Voir brochure page 2</t>
  </si>
  <si>
    <t xml:space="preserve">Resultat:  </t>
  </si>
  <si>
    <t xml:space="preserve">Résultat:  </t>
  </si>
  <si>
    <t>Deckung (</t>
  </si>
  <si>
    <t>Couverture (</t>
  </si>
  <si>
    <t>Anforderung (</t>
  </si>
  <si>
    <t>Exigence (</t>
  </si>
  <si>
    <t xml:space="preserve"> d.h. nicht erfüllt !!!</t>
  </si>
  <si>
    <t xml:space="preserve"> d.h. erfüllt !</t>
  </si>
  <si>
    <t>Annexe / page:</t>
  </si>
  <si>
    <t>Données sur le bâtiment</t>
  </si>
  <si>
    <t>Altitude [m]:</t>
  </si>
  <si>
    <t xml:space="preserve">Station  climatique:    </t>
  </si>
  <si>
    <t>(Sur la base du calcul des besoins de chaleur pour le chauffage selon la norme SIA 380/1)</t>
  </si>
  <si>
    <t>Zone thermique</t>
  </si>
  <si>
    <t>Totale</t>
  </si>
  <si>
    <t>(Moyenne)</t>
  </si>
  <si>
    <t>Surface de référence énergétique</t>
  </si>
  <si>
    <t>Rapport de forme</t>
  </si>
  <si>
    <t>Besoins de chaleur pour le chauffage</t>
  </si>
  <si>
    <t>Valeur limite des besoins de chaleur</t>
  </si>
  <si>
    <t>Blatt "WP" entfernt.</t>
  </si>
  <si>
    <t>Blatt "WP Grafik" entfernt.</t>
  </si>
  <si>
    <t>Blatt "Erneuerbar": Neue Eingabefelder C28-D31 zur Übernahme von Deckungsgrad und JAZ aus WPesti</t>
  </si>
  <si>
    <t>Blatt "WP",Gewichtungsfaktoren der 3 Heiz-COP: Grenzen neu bei -3°C und 4°C (anstatt -2°C und 5°C)</t>
  </si>
  <si>
    <t>Blatt "Erneuerbar": Neue Eingabefelder C14-D14 zur Übernahme des solaren Deckungsgrads aus WPesti</t>
  </si>
  <si>
    <t>Blatt "Input" und "Eingabe", Zeilen 169-176: Neue Variablen Eingabe Deckungsgrad und JAZ WP</t>
  </si>
  <si>
    <t>Besoins de chaleur pour l'eau chaude</t>
  </si>
  <si>
    <t>Anteil Qww: Elektrodirektheizung WW</t>
  </si>
  <si>
    <t>Inst. sportives</t>
  </si>
  <si>
    <t>Besoins de chaleur autorisés</t>
  </si>
  <si>
    <t>pour le chauffage</t>
  </si>
  <si>
    <t>pour l'eau chaude</t>
  </si>
  <si>
    <t>pour le chauffage et l'eau chaude</t>
  </si>
  <si>
    <t>Besoins de chaleur planifiés</t>
  </si>
  <si>
    <t>Electricité pour ventilation (2x pondérée)</t>
  </si>
  <si>
    <t>Besoins de chaleur pondérés</t>
  </si>
  <si>
    <t>En. renouv. / rejets therm.</t>
  </si>
  <si>
    <t>Production:</t>
  </si>
  <si>
    <t>Chaleur</t>
  </si>
  <si>
    <t>Electricité</t>
  </si>
  <si>
    <t>Installation solaire</t>
  </si>
  <si>
    <t>Pompe à chaleur</t>
  </si>
  <si>
    <t>Chauffage au bois</t>
  </si>
  <si>
    <t>Autres énergies renouvelables</t>
  </si>
  <si>
    <t>Exploitation de rejets thermiques</t>
  </si>
  <si>
    <t>Somme des énergies renouvelables</t>
  </si>
  <si>
    <t>(Negative Zahlen bedeuten Aufwand)</t>
  </si>
  <si>
    <t xml:space="preserve">Couvert par des énergies non renouvelables </t>
  </si>
  <si>
    <t>Comparaison</t>
  </si>
  <si>
    <t>Exigence</t>
  </si>
  <si>
    <t>Couvert par des énergies non renouvelables</t>
  </si>
  <si>
    <t>Couverture</t>
  </si>
  <si>
    <t>(Les chiffres négatifs correspondent à une dépense)</t>
  </si>
  <si>
    <t>Nicht erfüllt</t>
  </si>
  <si>
    <t>non rempli</t>
  </si>
  <si>
    <t>i.O.</t>
  </si>
  <si>
    <t>OK</t>
  </si>
  <si>
    <t>Isolation thermique!</t>
  </si>
  <si>
    <t>Wärmedämmung!</t>
  </si>
  <si>
    <t>Blatt "Rechengang", Zeile 31: Gewichtung Strom aus Elektrodirektheizung für WW mit Faktor 2, analog Heizung</t>
  </si>
  <si>
    <t>Blatt "WP", Zellen C11 und C13: Neue Tags, Qh und Qv mit thermisch wirksamen Aussenluftvolumenstrom</t>
  </si>
  <si>
    <t>Blatt "WP", Zellen D11: Neu Qh,eff, statt Qh</t>
  </si>
  <si>
    <r>
      <t>Q</t>
    </r>
    <r>
      <rPr>
        <vertAlign val="subscript"/>
        <sz val="9"/>
        <rFont val="Arial"/>
        <family val="2"/>
      </rPr>
      <t>h,eff</t>
    </r>
  </si>
  <si>
    <t>vorhanden</t>
  </si>
  <si>
    <t>nicht vorhanden</t>
  </si>
  <si>
    <t>Jahreszeitlicher Betrieb der Lüftung</t>
  </si>
  <si>
    <t>Wochen1</t>
  </si>
  <si>
    <t>Betriebszeit Lüftung1 (Wo/a)</t>
  </si>
  <si>
    <t>Betriebszeit Lüftung2 (Wo/a)</t>
  </si>
  <si>
    <t>Betriebszeit Lüftung3 (Wo/a)</t>
  </si>
  <si>
    <t>Betriebszeit Lüftung4 (Wo/a)</t>
  </si>
  <si>
    <t>Wochen2</t>
  </si>
  <si>
    <t>Wochen3</t>
  </si>
  <si>
    <t>Wochen4</t>
  </si>
  <si>
    <t>Blatt "WP", wenn kein Elektroheizstab für WW: Gibt negativen Deckungsgrad WW. T35-AB35 Formeln geändert.</t>
  </si>
  <si>
    <t xml:space="preserve">      Von den Anforderungen an den Höchstanteil befreiter Anbau  (Erweiterung, Aufstockung)</t>
  </si>
  <si>
    <r>
      <t xml:space="preserve"> m</t>
    </r>
    <r>
      <rPr>
        <vertAlign val="superscript"/>
        <sz val="10"/>
        <rFont val="Arial"/>
        <family val="2"/>
      </rPr>
      <t>2</t>
    </r>
  </si>
  <si>
    <t>Lüftung</t>
  </si>
  <si>
    <t xml:space="preserve"> Zulässiger Wärmebedarf Heizung und Warmwasser:</t>
  </si>
  <si>
    <t xml:space="preserve"> Grenzwert</t>
  </si>
  <si>
    <t xml:space="preserve"> Heizwärmebedarf</t>
  </si>
  <si>
    <t xml:space="preserve"> Wärmebedarf Warmwasser</t>
  </si>
  <si>
    <t xml:space="preserve"> Wärmebedarf für Heizung und Warmwasser,</t>
  </si>
  <si>
    <t xml:space="preserve"> der mit nichterneuerbaren Energie gedeckt wird:</t>
  </si>
  <si>
    <r>
      <t>MJ/m</t>
    </r>
    <r>
      <rPr>
        <vertAlign val="superscript"/>
        <sz val="9"/>
        <rFont val="Arial"/>
        <family val="2"/>
      </rPr>
      <t>2</t>
    </r>
  </si>
  <si>
    <r>
      <t>Q</t>
    </r>
    <r>
      <rPr>
        <vertAlign val="subscript"/>
        <sz val="9"/>
        <rFont val="Arial"/>
        <family val="2"/>
      </rPr>
      <t>h,li</t>
    </r>
    <r>
      <rPr>
        <sz val="9"/>
        <rFont val="Arial"/>
        <family val="2"/>
      </rPr>
      <t xml:space="preserve"> = </t>
    </r>
  </si>
  <si>
    <r>
      <t>Q</t>
    </r>
    <r>
      <rPr>
        <vertAlign val="subscript"/>
        <sz val="9"/>
        <rFont val="Arial"/>
        <family val="2"/>
      </rPr>
      <t>ww</t>
    </r>
    <r>
      <rPr>
        <sz val="9"/>
        <rFont val="Arial"/>
        <family val="2"/>
      </rPr>
      <t xml:space="preserve"> = </t>
    </r>
  </si>
  <si>
    <r>
      <t xml:space="preserve"> MJ/m</t>
    </r>
    <r>
      <rPr>
        <vertAlign val="superscript"/>
        <sz val="9"/>
        <rFont val="Arial"/>
        <family val="2"/>
      </rPr>
      <t>2</t>
    </r>
  </si>
  <si>
    <r>
      <t>Q</t>
    </r>
    <r>
      <rPr>
        <vertAlign val="subscript"/>
        <sz val="9"/>
        <rFont val="Arial"/>
        <family val="2"/>
      </rPr>
      <t>h,li</t>
    </r>
    <r>
      <rPr>
        <sz val="9"/>
        <rFont val="Arial"/>
        <family val="2"/>
      </rPr>
      <t xml:space="preserve"> + Q</t>
    </r>
    <r>
      <rPr>
        <vertAlign val="subscript"/>
        <sz val="9"/>
        <rFont val="Arial"/>
        <family val="2"/>
      </rPr>
      <t xml:space="preserve">ww </t>
    </r>
    <r>
      <rPr>
        <sz val="9"/>
        <rFont val="Arial"/>
        <family val="2"/>
      </rPr>
      <t xml:space="preserve">= </t>
    </r>
  </si>
  <si>
    <t>u</t>
  </si>
  <si>
    <t>v</t>
  </si>
  <si>
    <r>
      <t>E</t>
    </r>
    <r>
      <rPr>
        <vertAlign val="subscript"/>
        <sz val="9"/>
        <rFont val="Arial"/>
        <family val="2"/>
      </rPr>
      <t>LA</t>
    </r>
    <r>
      <rPr>
        <sz val="9"/>
        <rFont val="Arial"/>
        <family val="2"/>
      </rPr>
      <t xml:space="preserve"> = </t>
    </r>
  </si>
  <si>
    <t>w</t>
  </si>
  <si>
    <t>x</t>
  </si>
  <si>
    <t>y</t>
  </si>
  <si>
    <t xml:space="preserve"> Strombedarf mechanische Ersatzluftanlagen</t>
  </si>
  <si>
    <t xml:space="preserve"> Eff. Bedarf Heizung + Warmwasser</t>
  </si>
  <si>
    <t xml:space="preserve"> Nettobeitrag erneuerbare Energien (Bitte Berechnung beilegen):</t>
  </si>
  <si>
    <t xml:space="preserve"> Berechneter Bedarf gedeckt mit nichterneuerbaren Energien:</t>
  </si>
  <si>
    <r>
      <t xml:space="preserve"> </t>
    </r>
    <r>
      <rPr>
        <sz val="12"/>
        <rFont val="Wingdings 2"/>
        <family val="1"/>
      </rPr>
      <t>w</t>
    </r>
    <r>
      <rPr>
        <sz val="12"/>
        <rFont val="Arial"/>
        <family val="0"/>
      </rPr>
      <t xml:space="preserve"> - </t>
    </r>
    <r>
      <rPr>
        <sz val="12"/>
        <rFont val="Wingdings 2"/>
        <family val="1"/>
      </rPr>
      <t>x</t>
    </r>
    <r>
      <rPr>
        <sz val="12"/>
        <rFont val="Arial"/>
        <family val="0"/>
      </rPr>
      <t xml:space="preserve">  </t>
    </r>
  </si>
  <si>
    <t>Erfüllt?</t>
  </si>
  <si>
    <t>Kennzahlen:</t>
  </si>
  <si>
    <t>Beilagen / Erläuterungen</t>
  </si>
  <si>
    <t>Unterschriften</t>
  </si>
  <si>
    <t xml:space="preserve"> Nachweis erarbeitet durch:</t>
  </si>
  <si>
    <t xml:space="preserve"> Nachweisprüfung / Private Kontrolle:</t>
  </si>
  <si>
    <t xml:space="preserve"> Die Vollständigkeit und Richtigkeit bescheinigt</t>
  </si>
  <si>
    <t>Name und Adresse</t>
  </si>
  <si>
    <t>bzw. Firmenstempel</t>
  </si>
  <si>
    <t>Sachbearbeiter/-in, Tel.:</t>
  </si>
  <si>
    <t>Ort, Datum, Unterschrift:</t>
  </si>
  <si>
    <t>Ausführungskontrolle:</t>
  </si>
  <si>
    <t xml:space="preserve">     gleiche Person</t>
  </si>
  <si>
    <t>oder:</t>
  </si>
  <si>
    <t xml:space="preserve"> Rechnerische Lösung</t>
  </si>
  <si>
    <r>
      <t>Q</t>
    </r>
    <r>
      <rPr>
        <vertAlign val="subscript"/>
        <sz val="9"/>
        <rFont val="Arial"/>
        <family val="2"/>
      </rPr>
      <t>h</t>
    </r>
    <r>
      <rPr>
        <sz val="9"/>
        <rFont val="Arial"/>
        <family val="2"/>
      </rPr>
      <t xml:space="preserve"> =</t>
    </r>
  </si>
  <si>
    <t xml:space="preserve">Anteil nichterneuerbarer Energie:   </t>
  </si>
  <si>
    <t xml:space="preserve">        </t>
  </si>
  <si>
    <r>
      <t>f</t>
    </r>
    <r>
      <rPr>
        <vertAlign val="subscript"/>
        <sz val="9"/>
        <rFont val="Arial"/>
        <family val="2"/>
      </rPr>
      <t>eh</t>
    </r>
    <r>
      <rPr>
        <sz val="9"/>
        <rFont val="Arial"/>
        <family val="2"/>
      </rPr>
      <t xml:space="preserve"> = </t>
    </r>
  </si>
  <si>
    <r>
      <t xml:space="preserve"> Anteil Strombedarf für Erzeugung von Q</t>
    </r>
    <r>
      <rPr>
        <vertAlign val="subscript"/>
        <sz val="9"/>
        <rFont val="Arial"/>
        <family val="2"/>
      </rPr>
      <t>h</t>
    </r>
    <r>
      <rPr>
        <sz val="9"/>
        <rFont val="Arial"/>
        <family val="2"/>
      </rPr>
      <t xml:space="preserve">  (El. doppelt gewichtet)</t>
    </r>
  </si>
  <si>
    <t>Blatt "WP", Zellen K28: Minimale Heizleistung neu bei 85% des Vorschlagwertes, bzw. 1.2 kW unter Vorschlag.</t>
  </si>
  <si>
    <t>Blatt "WP", Neue Tags zu minimaler Heizleistung und Lüftungswärmeverlusten</t>
  </si>
  <si>
    <t xml:space="preserve">Blatt "Rechengang", Zellen J15 und J21: Geänderte Formel für Mittelwertberechnung </t>
  </si>
  <si>
    <r>
      <t>f</t>
    </r>
    <r>
      <rPr>
        <vertAlign val="subscript"/>
        <sz val="9"/>
        <rFont val="Arial"/>
        <family val="2"/>
      </rPr>
      <t>ed</t>
    </r>
    <r>
      <rPr>
        <sz val="9"/>
        <rFont val="Arial"/>
        <family val="2"/>
      </rPr>
      <t xml:space="preserve"> = </t>
    </r>
  </si>
  <si>
    <t>Blatt "Rechengang", Eingabe von Elektro-Direktheizung nicht mehr zulässig. Zeilen 14 und 15 ausgeblendet</t>
  </si>
  <si>
    <t>Blatt "WP", Zelle F20:  neue Fehlermeldung, wenn Elektro-Direktheizung &gt; 1%</t>
  </si>
  <si>
    <t>EN-1c</t>
  </si>
  <si>
    <t xml:space="preserve"> Rechnerischer Nachweis mit der Excel-Datei «Rechnach.xls».</t>
  </si>
  <si>
    <t>Rechnerische Lösung (calc)</t>
  </si>
  <si>
    <t>Copertura attraverso un miglioramento dell'isolazione termica, delle energie rinnovabili o del calore residuo</t>
  </si>
  <si>
    <t>Fabbisogno termico per l'acqua calda Qww</t>
  </si>
  <si>
    <t>Valore limite per il fabbisogno termico per il riscaldamento (Qh,li)</t>
  </si>
  <si>
    <t xml:space="preserve">Copertura con energie non rinnovabili </t>
  </si>
  <si>
    <t>Deckungsbeitrag Solaranlage (optional, z.B. aus WPesti)</t>
  </si>
  <si>
    <t>Couverture des besoins par l'installation solaire (calcul externe)</t>
  </si>
  <si>
    <t>Copertura dei bisogni dall'impianto solare (opzioni, calcolo esterno)</t>
  </si>
  <si>
    <t>Jahresarbeitszahl Heizung  (z.B. aus WPesti, Feld H58)</t>
  </si>
  <si>
    <t>COP annuel de la pompe à chaleur pour le chauffage (WPesti, H58)</t>
  </si>
  <si>
    <t>CLA della pompa di calore per il riscaldamento (p.es. WPesti_it, H58)</t>
  </si>
  <si>
    <t>Part qui est couverte par la PAC pour le chauffage (WPesti, F58)</t>
  </si>
  <si>
    <t>Quota coperta dalla PdC per il riscaldamento (p.es. WPesti_it, F58)</t>
  </si>
  <si>
    <t>Jahresarbeitszahl Warmwasser (z.B. aus WPesti, Feld H59)</t>
  </si>
  <si>
    <t>COP annuel de la pompe à chaleur pour l'ECS (p.e. WPesti_fr, H59)</t>
  </si>
  <si>
    <t>CLA della pompa di calore per l'ACS (p.es. WPesti_it, H59)</t>
  </si>
  <si>
    <t>Part qui est couverte par la PAC pour l'ECS (p.e. WPesti_fr, F59)</t>
  </si>
  <si>
    <t>Quota coperta dalla PdC per l'ACS  (p.es. WPesti_it, F59)</t>
  </si>
  <si>
    <t>soldeck1</t>
  </si>
  <si>
    <t>Solarer Deckungsgrad</t>
  </si>
  <si>
    <t>soldeck2</t>
  </si>
  <si>
    <t>jazh1</t>
  </si>
  <si>
    <t>jazww1</t>
  </si>
  <si>
    <t>epsh1</t>
  </si>
  <si>
    <t>epsww1</t>
  </si>
  <si>
    <t>jazh2</t>
  </si>
  <si>
    <t>jazww2</t>
  </si>
  <si>
    <t>epsh2</t>
  </si>
  <si>
    <t>epsww2</t>
  </si>
  <si>
    <t>Deckungsgrae und JAZ der WP I und II</t>
  </si>
  <si>
    <t>JAZ Heizung WP1</t>
  </si>
  <si>
    <t>JAZ Heizung WP2</t>
  </si>
  <si>
    <t>JAZ Warmwasser WP1</t>
  </si>
  <si>
    <t>JAZ Warmwasser WP2</t>
  </si>
  <si>
    <t>Deckungsgrad Heizung WP1</t>
  </si>
  <si>
    <t>Deckungsgrad Heizung WP2</t>
  </si>
  <si>
    <t>Deckungsgrad Warmwasser WP1</t>
  </si>
  <si>
    <t>Deckungsgrad Warmwasser WP2</t>
  </si>
  <si>
    <t>Fabbisogno termico ammesso</t>
  </si>
  <si>
    <t>Per il riscaldamento</t>
  </si>
  <si>
    <t>Per l'ACS</t>
  </si>
  <si>
    <t>Per il riscaldamento e l'ACS</t>
  </si>
  <si>
    <t>Quota massima di energie non rinnovabili</t>
  </si>
  <si>
    <t>Fabbisogno termico pianificato</t>
  </si>
  <si>
    <t>Elettricità per ventilatori (ponderata a 2)</t>
  </si>
  <si>
    <t>Fabbisogno termico ponderato</t>
  </si>
  <si>
    <t>Energie rinnovabili / calore residuo</t>
  </si>
  <si>
    <t>Produzione:</t>
  </si>
  <si>
    <t>Calore</t>
  </si>
  <si>
    <t>Elettricità</t>
  </si>
  <si>
    <t>Pompe di calore</t>
  </si>
  <si>
    <t>Riscaldamento a legna</t>
  </si>
  <si>
    <t>Altre energie rinnovabili</t>
  </si>
  <si>
    <t>Sfruttamento del calore residuo</t>
  </si>
  <si>
    <t>Somma delle energie rinnovabili</t>
  </si>
  <si>
    <t>(Le cifre negative corrispondono ad un dispendio)</t>
  </si>
  <si>
    <t>Coperto da energie non rinnovabili</t>
  </si>
  <si>
    <t>Confronto</t>
  </si>
  <si>
    <t>Esigenze</t>
  </si>
  <si>
    <t>Coperte da energie non rinnovabili</t>
  </si>
  <si>
    <t>Non rispettato</t>
  </si>
  <si>
    <t>Isolazione termica!</t>
  </si>
  <si>
    <t>zona termica</t>
  </si>
  <si>
    <t xml:space="preserve">Superficie di riferimento energetico </t>
  </si>
  <si>
    <t>Altezza in luce media</t>
  </si>
  <si>
    <t>Fabbisogno di elettricità per l' aerazione</t>
  </si>
  <si>
    <t>- Valore inserito (allegare il calcolo)</t>
  </si>
  <si>
    <t>Rendimento del recupero di calore</t>
  </si>
  <si>
    <t>Portata d'aria termicamente determinante</t>
  </si>
  <si>
    <t>(La portata d'aria termicamente determinante deve essere riportata nel calcolo del fabbisogno termico ottimizzato SIA 380/1)</t>
  </si>
  <si>
    <t>Somma</t>
  </si>
  <si>
    <t>Dettagli per zona 1</t>
  </si>
  <si>
    <t>Dettagli per zona 2</t>
  </si>
  <si>
    <t>Dettagli per zona 3</t>
  </si>
  <si>
    <t>Dettagli per zona 4</t>
  </si>
  <si>
    <t>Portata d'aria</t>
  </si>
  <si>
    <t>Potenza elettrica necessaria (imm+asp)</t>
  </si>
  <si>
    <t>Funzionamento settimanale (max 168 h)</t>
  </si>
  <si>
    <t>Portata d'aria dell'impianto di aerazione</t>
  </si>
  <si>
    <t>Tasso di ricambio d'aria n</t>
  </si>
  <si>
    <t>Deckungsbeitrag Solaranlage (Rechenwert)</t>
  </si>
  <si>
    <t>Blatt "WP", Fehler in Formeln V60 und W60 behoben</t>
  </si>
  <si>
    <t>Blatt "Summenhäufigkeit", Fehler in Formeln F19 und C25-41 behoben</t>
  </si>
  <si>
    <t>Blatt "WP", zusätzliche Temperaturerhöhung in Wärmequelle bei Luft-WP, Formeln T17-19, T31 angepasst</t>
  </si>
  <si>
    <t>Blatt "EN-1C" und "Rechengang":Anteil Qh Elektro-Direktheizung wiedere eingeblendet und aktiviert</t>
  </si>
  <si>
    <t>Gültigkeit neu bis 31. 12. 2011</t>
  </si>
  <si>
    <t>Qh é maggiore del Qh,li --&gt;
Esigenze concernenti l'isolazione pagina 2!</t>
  </si>
  <si>
    <t>Fabbisogno termico per il riscaldamento Qh,eff:</t>
  </si>
  <si>
    <t>Può essere ripreso dal calcolo SIA 380/1. Calcolato con la portata d'aria termicamente determinante (può essere considerato il recupero di calore)</t>
  </si>
  <si>
    <t>Riscaldamento elettrico diretto, valore di calcolo:</t>
  </si>
  <si>
    <t>Per default la quota coperta dall'elettricità per la preparazione dell'ACS é ripresa dal foglio WP, nel caso in cui é dichiarato un post-riscaldamento elettrico o un riscaldamento in parallelo dell' ACS, altrimenti il valore di default é 0.</t>
  </si>
  <si>
    <t>Il valore calcolato riprende il valore di default se nessun valore é inserito nella cella 20</t>
  </si>
  <si>
    <t>Rinnovabile</t>
  </si>
  <si>
    <t>Allegato / pagina:</t>
  </si>
  <si>
    <t>Contributo delle energie non rinnovabili</t>
  </si>
  <si>
    <t>Impianto solari</t>
  </si>
  <si>
    <t>Impianti (descrizione):</t>
  </si>
  <si>
    <t>Utilizzo (riscaldamento o produzione di ACS)</t>
  </si>
  <si>
    <t>Apporto per m2 di superficie dell'assorbitore, secondo il foglio di calcolo "WP"</t>
  </si>
  <si>
    <t>Apporto per m2 di superficie dell'assorbitore (fattore di riduzione incluso)</t>
  </si>
  <si>
    <t>Produzione dell'impianto solare:</t>
  </si>
  <si>
    <t>Fabbisogno da coprire</t>
  </si>
  <si>
    <t>Copertura dei bisogni dall'impianto solare</t>
  </si>
  <si>
    <t>Produzione netta dell'impianto solare</t>
  </si>
  <si>
    <t>Superficie dell'assorbitore non corrisponde al foglio "WP"</t>
  </si>
  <si>
    <t>Pompa di calore (PdC)</t>
  </si>
  <si>
    <t>Impianto (descrizione)</t>
  </si>
  <si>
    <t>Fonte di calore</t>
  </si>
  <si>
    <t>Per lo scalda acqua pompa di calore</t>
  </si>
  <si>
    <t>Coefficiente di lavoro annuo CLA (senza calcoli complementari)</t>
  </si>
  <si>
    <t>Potenza elettrica media della PdC</t>
  </si>
  <si>
    <t>Tempo di funzionamento alla potenza media</t>
  </si>
  <si>
    <t>Fabbisogno da coprire per il riscaldamento</t>
  </si>
  <si>
    <t>Fabbisogno da coprire per l'acqua calda</t>
  </si>
  <si>
    <t>Fabbisogno da coprire (riscaldamento e l'acqua calda)</t>
  </si>
  <si>
    <t>Produzione di calore della PdC</t>
  </si>
  <si>
    <t>Contributo della PdC per il riscaldamento e l'ACS</t>
  </si>
  <si>
    <t xml:space="preserve">Quota coperta dalla PdC </t>
  </si>
  <si>
    <t>Fabbisogno d'elettricità della PdC</t>
  </si>
  <si>
    <t>Immagazzinamento del legno e accumulatore di calore disponibili?</t>
  </si>
  <si>
    <t>Produzione del riscaldamento a legna</t>
  </si>
  <si>
    <t>Fabbisogno da coprire (riscaldamento e ACS)</t>
  </si>
  <si>
    <t>Contributo netto del riscaldamento a legna</t>
  </si>
  <si>
    <t>Utilizzazione del calore residuo</t>
  </si>
  <si>
    <t>Produzione di calore dall'utilizzo del calore residuo</t>
  </si>
  <si>
    <t>Consumo elettrico per l'utilizzo del calore residuo</t>
  </si>
  <si>
    <t>Contributo in calore dell'utilizzo del calore residuo</t>
  </si>
  <si>
    <t>Produzione di calore dell'impianto</t>
  </si>
  <si>
    <t>Gültigkeit neu bis 31. 12. 2015</t>
  </si>
  <si>
    <t>7.0</t>
  </si>
  <si>
    <t xml:space="preserve">RechNach.xls / Version </t>
  </si>
  <si>
    <t xml:space="preserve">RechNach.xls / Versione </t>
  </si>
  <si>
    <t xml:space="preserve">WP2 Wärmequelle = </t>
  </si>
  <si>
    <t xml:space="preserve">WP2 Einsatz = </t>
  </si>
  <si>
    <t xml:space="preserve">WPBoiler2 = </t>
  </si>
  <si>
    <t xml:space="preserve">WP1 Wärmequelle = </t>
  </si>
  <si>
    <t xml:space="preserve">WP1 Einsatz = </t>
  </si>
  <si>
    <t xml:space="preserve">WPBoiler1 = </t>
  </si>
  <si>
    <t>Mittlerer COP</t>
  </si>
  <si>
    <t>Deckung total</t>
  </si>
  <si>
    <t>Deckungsgrad Heizung (z.B. aus WPesti, Feld F58)</t>
  </si>
  <si>
    <t>Deckungsgrad Warmwasser (z.B. aus WPesti, Feld F59)</t>
  </si>
  <si>
    <t>Deckungsbeitrag Solaranlage (z.B. aus WPesti)</t>
  </si>
  <si>
    <t>Peut être repris du calcul SIA 380/1. Calculé avec le débit d'air neuf thermiquement actif (la RC peut être prise en compte).</t>
  </si>
  <si>
    <t>Blatt "WP", neue Variable "Offset", durchschnittliche Erhöhung der Sondentemperatur gegenüber Auslegung (=2K)</t>
  </si>
  <si>
    <t>Risultato grafico</t>
  </si>
  <si>
    <t>Isolazione insufficiente! --&gt; vedere norma pagina 2</t>
  </si>
  <si>
    <t>Risultati:</t>
  </si>
  <si>
    <t>Copertura (</t>
  </si>
  <si>
    <t>Esigenze (</t>
  </si>
  <si>
    <t>Condizioni non soddisfatte!!!</t>
  </si>
  <si>
    <t>Condizioni soddisfatte!!!</t>
  </si>
  <si>
    <t>Dati in MJ/m2 a</t>
  </si>
  <si>
    <t>Copertura ammessa con energia non rinnovabile
(Qmax E.N.R.)</t>
  </si>
  <si>
    <t>Surélévation, sans partie existante.</t>
  </si>
  <si>
    <t>- Secondo la tabella sottostante</t>
  </si>
  <si>
    <t>Fabbisogno elettrico per l' aerazione</t>
  </si>
  <si>
    <t xml:space="preserve">      Aggiunte dispensate dalla verifica (ampliamento, innalzamento)</t>
  </si>
  <si>
    <t>oui</t>
  </si>
  <si>
    <t>Nein !</t>
  </si>
  <si>
    <t>non</t>
  </si>
  <si>
    <t>Net</t>
  </si>
  <si>
    <t>Surface d'absorbeurs</t>
  </si>
  <si>
    <t>Temps de fonctionnement à la puissance moyenne</t>
  </si>
  <si>
    <t>Fonctionnement estival uniquement</t>
  </si>
  <si>
    <t>Installations de ventilation</t>
  </si>
  <si>
    <t>Hauteur libre moyenne</t>
  </si>
  <si>
    <t>Somme</t>
  </si>
  <si>
    <t>part maximales d’énergies non renouvelables</t>
  </si>
  <si>
    <t>Gebäudekategorie</t>
  </si>
  <si>
    <t>Gebäudekategorie:</t>
  </si>
  <si>
    <t>MFH</t>
  </si>
  <si>
    <t>EFH</t>
  </si>
  <si>
    <t>Vers.</t>
  </si>
  <si>
    <r>
      <t>H</t>
    </r>
    <r>
      <rPr>
        <vertAlign val="subscript"/>
        <sz val="9"/>
        <rFont val="Arial"/>
        <family val="2"/>
      </rPr>
      <t>g0</t>
    </r>
  </si>
  <si>
    <r>
      <t>D</t>
    </r>
    <r>
      <rPr>
        <sz val="9"/>
        <rFont val="Arial"/>
        <family val="2"/>
      </rPr>
      <t>H</t>
    </r>
    <r>
      <rPr>
        <vertAlign val="subscript"/>
        <sz val="9"/>
        <rFont val="Arial"/>
        <family val="2"/>
      </rPr>
      <t>g</t>
    </r>
  </si>
  <si>
    <r>
      <t>Q</t>
    </r>
    <r>
      <rPr>
        <vertAlign val="subscript"/>
        <sz val="9"/>
        <rFont val="Arial"/>
        <family val="2"/>
      </rPr>
      <t>ww</t>
    </r>
  </si>
  <si>
    <r>
      <t>EBF</t>
    </r>
    <r>
      <rPr>
        <vertAlign val="subscript"/>
        <sz val="9"/>
        <rFont val="Arial"/>
        <family val="2"/>
      </rPr>
      <t>0</t>
    </r>
  </si>
  <si>
    <r>
      <t>m</t>
    </r>
    <r>
      <rPr>
        <vertAlign val="superscript"/>
        <sz val="9"/>
        <rFont val="Arial"/>
        <family val="2"/>
      </rPr>
      <t>2</t>
    </r>
  </si>
  <si>
    <r>
      <t>Q</t>
    </r>
    <r>
      <rPr>
        <vertAlign val="subscript"/>
        <sz val="9"/>
        <rFont val="Arial"/>
        <family val="2"/>
      </rPr>
      <t>h</t>
    </r>
  </si>
  <si>
    <r>
      <t>MJ/m</t>
    </r>
    <r>
      <rPr>
        <vertAlign val="superscript"/>
        <sz val="9"/>
        <rFont val="Arial"/>
        <family val="2"/>
      </rPr>
      <t>2</t>
    </r>
    <r>
      <rPr>
        <sz val="9"/>
        <rFont val="Arial"/>
        <family val="2"/>
      </rPr>
      <t>a</t>
    </r>
  </si>
  <si>
    <r>
      <t>%Q</t>
    </r>
    <r>
      <rPr>
        <vertAlign val="subscript"/>
        <sz val="9"/>
        <rFont val="Arial"/>
        <family val="2"/>
      </rPr>
      <t>h</t>
    </r>
  </si>
  <si>
    <r>
      <t>2 Q</t>
    </r>
    <r>
      <rPr>
        <vertAlign val="subscript"/>
        <sz val="9"/>
        <rFont val="Arial"/>
        <family val="2"/>
      </rPr>
      <t>e</t>
    </r>
  </si>
  <si>
    <r>
      <t>MJ/m</t>
    </r>
    <r>
      <rPr>
        <b/>
        <vertAlign val="superscript"/>
        <sz val="9"/>
        <rFont val="Arial"/>
        <family val="2"/>
      </rPr>
      <t>2</t>
    </r>
    <r>
      <rPr>
        <b/>
        <sz val="9"/>
        <rFont val="Arial"/>
        <family val="2"/>
      </rPr>
      <t>a</t>
    </r>
  </si>
  <si>
    <r>
      <t>Q</t>
    </r>
    <r>
      <rPr>
        <vertAlign val="subscript"/>
        <sz val="9"/>
        <rFont val="Arial"/>
        <family val="2"/>
      </rPr>
      <t>e</t>
    </r>
  </si>
  <si>
    <r>
      <t>MJ/m</t>
    </r>
    <r>
      <rPr>
        <vertAlign val="superscript"/>
        <sz val="9"/>
        <rFont val="Arial"/>
        <family val="2"/>
      </rPr>
      <t>2</t>
    </r>
    <r>
      <rPr>
        <sz val="9"/>
        <rFont val="Arial"/>
        <family val="0"/>
      </rPr>
      <t>a</t>
    </r>
  </si>
  <si>
    <r>
      <t>h</t>
    </r>
    <r>
      <rPr>
        <vertAlign val="subscript"/>
        <sz val="9"/>
        <rFont val="Arial"/>
        <family val="2"/>
      </rPr>
      <t>WRG</t>
    </r>
  </si>
  <si>
    <r>
      <t>m</t>
    </r>
    <r>
      <rPr>
        <vertAlign val="superscript"/>
        <sz val="9"/>
        <rFont val="Arial"/>
        <family val="2"/>
      </rPr>
      <t>3</t>
    </r>
    <r>
      <rPr>
        <sz val="9"/>
        <rFont val="Arial"/>
        <family val="0"/>
      </rPr>
      <t>/m</t>
    </r>
    <r>
      <rPr>
        <vertAlign val="superscript"/>
        <sz val="9"/>
        <rFont val="Arial"/>
        <family val="2"/>
      </rPr>
      <t>2</t>
    </r>
    <r>
      <rPr>
        <sz val="9"/>
        <rFont val="Arial"/>
        <family val="0"/>
      </rPr>
      <t>h</t>
    </r>
  </si>
  <si>
    <r>
      <t>m</t>
    </r>
    <r>
      <rPr>
        <vertAlign val="superscript"/>
        <sz val="9"/>
        <rFont val="Arial"/>
        <family val="2"/>
      </rPr>
      <t>3</t>
    </r>
    <r>
      <rPr>
        <sz val="9"/>
        <rFont val="Arial"/>
        <family val="0"/>
      </rPr>
      <t>/h</t>
    </r>
  </si>
  <si>
    <r>
      <t xml:space="preserve">Betrieb pro Woche </t>
    </r>
    <r>
      <rPr>
        <sz val="9"/>
        <rFont val="Arial"/>
        <family val="2"/>
      </rPr>
      <t>(max. 168h)</t>
    </r>
  </si>
  <si>
    <r>
      <t>kWh/m</t>
    </r>
    <r>
      <rPr>
        <vertAlign val="superscript"/>
        <sz val="9"/>
        <rFont val="Arial"/>
        <family val="2"/>
      </rPr>
      <t>2</t>
    </r>
    <r>
      <rPr>
        <sz val="9"/>
        <rFont val="Arial"/>
        <family val="0"/>
      </rPr>
      <t>a</t>
    </r>
  </si>
  <si>
    <t>I</t>
  </si>
  <si>
    <t>II</t>
  </si>
  <si>
    <t>Projekt-Titel1:</t>
  </si>
  <si>
    <t>Projekt-Titel2:</t>
  </si>
  <si>
    <t>Projekt-Titel3:</t>
  </si>
  <si>
    <t>EBFo:</t>
  </si>
  <si>
    <t>EBF:</t>
  </si>
  <si>
    <t>Gebäudehüllziffer:</t>
  </si>
  <si>
    <t>Heizwärmebedarf:</t>
  </si>
  <si>
    <t xml:space="preserve">Vx = </t>
  </si>
  <si>
    <t>Wochen/a</t>
  </si>
  <si>
    <r>
      <t>m</t>
    </r>
    <r>
      <rPr>
        <vertAlign val="superscript"/>
        <sz val="8"/>
        <rFont val="Arial"/>
        <family val="2"/>
      </rPr>
      <t>3</t>
    </r>
    <r>
      <rPr>
        <sz val="8"/>
        <rFont val="Arial"/>
        <family val="2"/>
      </rPr>
      <t>/m</t>
    </r>
    <r>
      <rPr>
        <vertAlign val="superscript"/>
        <sz val="8"/>
        <rFont val="Arial"/>
        <family val="2"/>
      </rPr>
      <t>2</t>
    </r>
    <r>
      <rPr>
        <sz val="8"/>
        <rFont val="Arial"/>
        <family val="2"/>
      </rPr>
      <t>h</t>
    </r>
  </si>
  <si>
    <t>Betriebszeit:</t>
  </si>
  <si>
    <t>Elektro-Direkt-Anteil:</t>
  </si>
  <si>
    <t>Strom Lüftung Qe:</t>
  </si>
  <si>
    <t>Wirkungsgrad WRG:</t>
  </si>
  <si>
    <t>Luftmenge Stufe1</t>
  </si>
  <si>
    <t>Luftmenge Stufe2</t>
  </si>
  <si>
    <t>Luftmenge Stufe3</t>
  </si>
  <si>
    <t>Betriebszeit Stufe1</t>
  </si>
  <si>
    <t>Betriebszeit Stufe2</t>
  </si>
  <si>
    <t>Betriebszeit Stufe3</t>
  </si>
  <si>
    <t>Pel Lüftung Stufe1</t>
  </si>
  <si>
    <t>Pel Lüftung Stufe2</t>
  </si>
  <si>
    <t>Pel Lüftung Stufe3</t>
  </si>
  <si>
    <t>Bezeichnung</t>
  </si>
  <si>
    <t>Einsatz</t>
  </si>
  <si>
    <t>Absorberfläche</t>
  </si>
  <si>
    <t>Ertrag pro m2</t>
  </si>
  <si>
    <t>Wärmequelle</t>
  </si>
  <si>
    <t>WP-Boiler-Betrieb</t>
  </si>
  <si>
    <t>JAZ</t>
  </si>
  <si>
    <t>el. Leistung</t>
  </si>
  <si>
    <t>Laufzeit</t>
  </si>
  <si>
    <t>Wärmepumpe II:</t>
  </si>
  <si>
    <t>Holzheizung I:</t>
  </si>
  <si>
    <t>Speicher</t>
  </si>
  <si>
    <t>Wärmeproduktion</t>
  </si>
  <si>
    <t>Holzheizung II:</t>
  </si>
  <si>
    <t>Abwärmenutzung I:</t>
  </si>
  <si>
    <t>Strombedarf</t>
  </si>
  <si>
    <t>Abwärmenutzung II:</t>
  </si>
  <si>
    <t>Andere erneuerbare I:</t>
  </si>
  <si>
    <t>Stromproduktion</t>
  </si>
  <si>
    <t>keine Zusatzenergie?</t>
  </si>
  <si>
    <t>Andere erneuerbare II:</t>
  </si>
  <si>
    <t>Kt.</t>
  </si>
  <si>
    <t>Klima-</t>
  </si>
  <si>
    <t>Lage</t>
  </si>
  <si>
    <t>Höhe</t>
  </si>
  <si>
    <t>HGT</t>
  </si>
  <si>
    <t>zone</t>
  </si>
  <si>
    <t>dim.</t>
  </si>
  <si>
    <t>mittl.</t>
  </si>
  <si>
    <t>m.ü.M.</t>
  </si>
  <si>
    <t>Basel-Binningen</t>
  </si>
  <si>
    <t>BL</t>
  </si>
  <si>
    <t>A</t>
  </si>
  <si>
    <t>NE</t>
  </si>
  <si>
    <t>F</t>
  </si>
  <si>
    <t>BE</t>
  </si>
  <si>
    <t>S</t>
  </si>
  <si>
    <t>AG</t>
  </si>
  <si>
    <t>TG</t>
  </si>
  <si>
    <t>Schaffhausen</t>
  </si>
  <si>
    <t>SH</t>
  </si>
  <si>
    <t>E</t>
  </si>
  <si>
    <t>St. Gallen</t>
  </si>
  <si>
    <t>SG</t>
  </si>
  <si>
    <t>T</t>
  </si>
  <si>
    <t>Zürich SMA</t>
  </si>
  <si>
    <t>ZH</t>
  </si>
  <si>
    <t>U*</t>
  </si>
  <si>
    <t>Luzern</t>
  </si>
  <si>
    <t>LU</t>
  </si>
  <si>
    <t>Genève</t>
  </si>
  <si>
    <t>GE</t>
  </si>
  <si>
    <t>A*</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</si>
  <si>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</si>
  <si>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</si>
  <si>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</si>
  <si>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</si>
  <si>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</si>
  <si>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</si>
  <si>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</si>
  <si>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</si>
  <si>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</si>
  <si>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</si>
  <si>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</si>
  <si>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</si>
  <si>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</si>
  <si>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</si>
  <si>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</si>
  <si>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</si>
  <si>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</si>
  <si>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</si>
  <si>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</si>
  <si>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</si>
  <si>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</si>
  <si>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</si>
  <si>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F*</t>
  </si>
  <si>
    <t>Robbia</t>
  </si>
  <si>
    <t>Klimastationen</t>
  </si>
  <si>
    <t>Temperatur  °C</t>
  </si>
  <si>
    <t>Zone:</t>
  </si>
  <si>
    <t>Aussenluftvolumenstrom durch Gebäudehülle bei laufender Lüftungsanlage:</t>
  </si>
  <si>
    <t>Aussenluftvolumenstrom durch Gebäudehülle bei stillstehender Lüftungsanlage:</t>
  </si>
  <si>
    <t xml:space="preserve">Vo = </t>
  </si>
  <si>
    <t>Elektr. Leistungsaufnahme ZUL+ABL</t>
  </si>
  <si>
    <t>Luftwechselrate n</t>
  </si>
  <si>
    <r>
      <t>h</t>
    </r>
    <r>
      <rPr>
        <vertAlign val="superscript"/>
        <sz val="9"/>
        <rFont val="Arial"/>
        <family val="2"/>
      </rPr>
      <t>-1</t>
    </r>
  </si>
  <si>
    <t>mittlere lichte Raumhöhe</t>
  </si>
  <si>
    <t>Heizung + Warmwasser</t>
  </si>
  <si>
    <t>Einsatz:</t>
  </si>
  <si>
    <t>Einsatz (Heizung oder Warmwasser)</t>
  </si>
  <si>
    <t>Zu deckender Bedarf</t>
  </si>
  <si>
    <t>Wärmequelle:</t>
  </si>
  <si>
    <t>Luft</t>
  </si>
  <si>
    <t>Erde</t>
  </si>
  <si>
    <t>Wasser</t>
  </si>
  <si>
    <t>Nur Sommerbetrieb</t>
  </si>
  <si>
    <t>Blatt "WP", D53 und D54: Neu keine Winkelkorrektur der Kollektoren, wenn manuelle Eingabe in F51</t>
  </si>
  <si>
    <t>Anpassungen am Programm Rechnach</t>
  </si>
  <si>
    <t>Blatt "Rechengang", Zellen T50 - V63: Neue Grenzwerte nach SIA 380/1, Version 2009</t>
  </si>
  <si>
    <t>Blatt "Rechengang", Zellen Y53 - AF109 : Neue Klimadaten und Wetterstationen nach SIA 2028</t>
  </si>
  <si>
    <t>Blatt "WP", Zellen I49 - O109 : Neue Klimadaten und Wetterstationen nach SIA 2028</t>
  </si>
  <si>
    <t>Blatt "Rechengang", Zellen E19 - H19: Neue Höhenkorrketor Klima nach SIA 380/1, Vers. 2009: 8% statt 4%</t>
  </si>
  <si>
    <t>geändert durch</t>
  </si>
  <si>
    <t>AH</t>
  </si>
  <si>
    <t>Beilage / Seite:</t>
  </si>
  <si>
    <t>Projekt:</t>
  </si>
  <si>
    <t>Gebäudedaten</t>
  </si>
  <si>
    <t>Blatt "Lueftungsanlagen" Korrektur Tabelle Standardluftwechsel</t>
  </si>
  <si>
    <t>Gültigkeit neu bis 31.12.2022</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</si>
</sst>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_ ;[Red]\-#,##0\ "/>
    <numFmt numFmtId="171" formatCode="0.00_ ;[Red]\-0.00\ "/>
    <numFmt numFmtId="172" formatCode="#,##0.00_ ;[Red]\-#,##0.00\ "/>
    <numFmt numFmtId="173" formatCode="0.0"/>
    <numFmt numFmtId="174" formatCode="#,##0.0_ ;[Red]\-#,##0.0\ "/>
    <numFmt numFmtId="175" formatCode="_ * #,##0_ ;_ * \-#,##0_ ;_ * &quot;-&quot;??_ ;_ @_ "/>
    <numFmt numFmtId="176" formatCode="0.0%"/>
    <numFmt numFmtId="177" formatCode="#,##0.0"/>
  </numFmts>
  <fonts count="66">
    <font>
      <sz val="10"/>
      <name val="Arial"/>
      <family val="0"/>
    </font>
    <font>
      <sz val="11"/>
      <color indexed="8"/>
      <name val="Calibri"/>
      <family val="2"/>
    </font>
    <font>
      <b/>
      <sz val="10"/>
      <name val="Arial"/>
      <family val="0"/>
    </font>
    <font>
      <b/>
      <sz val="12"/>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font>
    <font>
      <vertAlign val="superscript"/>
      <sz val="9"/>
      <name val="Arial"/>
      <family val="2"/>
    </font>
    <font>
      <b/>
      <vertAlign val="superscript"/>
      <sz val="9"/>
      <name val="Arial"/>
      <family val="2"/>
    </font>
    <font>
      <b/>
      <sz val="11"/>
      <name val="Arial"/>
      <family val="2"/>
    </font>
    <font>
      <b/>
      <i/>
      <sz val="9"/>
      <name val="Arial"/>
      <family val="2"/>
    </font>
    <font>
      <sz val="6"/>
      <name val="Arial"/>
      <family val="2"/>
    </font>
    <font>
      <sz val="9"/>
      <color indexed="9"/>
      <name val="Arial"/>
      <family val="2"/>
    </font>
    <font>
      <sz val="10"/>
      <color indexed="9"/>
      <name val="Arial"/>
      <family val="2"/>
    </font>
    <font>
      <i/>
      <sz val="8"/>
      <name val="Arial"/>
      <family val="2"/>
    </font>
    <font>
      <b/>
      <sz val="8"/>
      <name val="Tahoma"/>
      <family val="0"/>
    </font>
    <font>
      <sz val="8"/>
      <name val="Tahoma"/>
      <family val="2"/>
    </font>
    <font>
      <sz val="8"/>
      <color indexed="9"/>
      <name val="Arial"/>
      <family val="2"/>
    </font>
    <font>
      <sz val="11"/>
      <name val="Arial"/>
      <family val="2"/>
    </font>
    <font>
      <b/>
      <sz val="16"/>
      <name val="Arial"/>
      <family val="2"/>
    </font>
    <font>
      <vertAlign val="superscript"/>
      <sz val="10"/>
      <name val="Arial"/>
      <family val="2"/>
    </font>
    <font>
      <sz val="12"/>
      <name val="Wingdings 2"/>
      <family val="1"/>
    </font>
    <font>
      <sz val="12"/>
      <name val="Arial"/>
      <family val="0"/>
    </font>
    <font>
      <sz val="11"/>
      <name val="Wingdings 2"/>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Wingdings 3"/>
      <family val="1"/>
    </font>
    <font>
      <sz val="8"/>
      <color indexed="10"/>
      <name val="Arial"/>
      <family val="2"/>
    </font>
    <font>
      <b/>
      <sz val="8"/>
      <name val="Arial"/>
      <family val="2"/>
    </font>
    <font>
      <vertAlign val="subscript"/>
      <sz val="8"/>
      <name val="Arial"/>
      <family val="2"/>
    </font>
    <font>
      <sz val="8"/>
      <color indexed="8"/>
      <name val="Arial"/>
      <family val="0"/>
    </font>
    <font>
      <sz val="7.35"/>
      <color indexed="8"/>
      <name val="Arial"/>
      <family val="0"/>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30"/>
        <bgColor indexed="64"/>
      </patternFill>
    </fill>
    <fill>
      <patternFill patternType="solid">
        <fgColor indexed="42"/>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right/>
      <top/>
      <bottom style="thick">
        <color indexed="56"/>
      </bottom>
    </border>
    <border>
      <left/>
      <right/>
      <top/>
      <bottom style="thick">
        <color indexed="27"/>
      </bottom>
    </border>
    <border>
      <left/>
      <right/>
      <top/>
      <bottom style="medium">
        <color indexed="27"/>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style="thin"/>
      <right/>
      <top style="hair"/>
      <bottom/>
    </border>
    <border>
      <left/>
      <right/>
      <top style="hair"/>
      <bottom/>
    </border>
    <border>
      <left style="hair"/>
      <right style="hair"/>
      <top style="hair"/>
      <bottom/>
    </border>
    <border>
      <left/>
      <right style="thin"/>
      <top style="hair"/>
      <bottom/>
    </border>
    <border>
      <left style="thin"/>
      <right style="thin"/>
      <top/>
      <bottom/>
    </border>
    <border>
      <left style="thin"/>
      <right/>
      <top style="hair"/>
      <bottom style="hair"/>
    </border>
    <border>
      <left/>
      <right/>
      <top style="hair"/>
      <bottom style="hair"/>
    </border>
    <border>
      <left/>
      <right style="hair"/>
      <top style="hair"/>
      <bottom style="hair"/>
    </border>
    <border>
      <left style="hair"/>
      <right style="hair"/>
      <top/>
      <bottom/>
    </border>
    <border>
      <left style="hair"/>
      <right style="hair"/>
      <top style="hair"/>
      <bottom style="hair"/>
    </border>
    <border>
      <left/>
      <right style="thin"/>
      <top style="hair"/>
      <bottom style="hair"/>
    </border>
    <border>
      <left style="thin"/>
      <right/>
      <top style="hair"/>
      <bottom style="thin"/>
    </border>
    <border>
      <left style="hair"/>
      <right style="hair"/>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top style="thin"/>
      <bottom style="thin"/>
    </border>
    <border>
      <left/>
      <right/>
      <top style="thin"/>
      <bottom style="thin"/>
    </border>
    <border>
      <left style="hair"/>
      <right style="hair"/>
      <top style="thin"/>
      <bottom style="thin"/>
    </border>
    <border>
      <left/>
      <right style="thin"/>
      <top style="thin"/>
      <bottom style="thin"/>
    </border>
    <border>
      <left style="hair"/>
      <right style="hair"/>
      <top style="thin"/>
      <bottom style="hair"/>
    </border>
    <border>
      <left style="hair"/>
      <right style="hair"/>
      <top style="thin"/>
      <bottom/>
    </border>
    <border>
      <left style="hair"/>
      <right style="thin"/>
      <top style="thin"/>
      <bottom/>
    </border>
    <border>
      <left style="hair"/>
      <right style="thin"/>
      <top style="hair"/>
      <bottom style="hair"/>
    </border>
    <border>
      <left style="hair"/>
      <right style="thin"/>
      <top style="thin"/>
      <bottom style="thin"/>
    </border>
    <border>
      <left style="hair"/>
      <right/>
      <top style="thin"/>
      <bottom/>
    </border>
    <border>
      <left style="hair"/>
      <right style="hair"/>
      <top/>
      <bottom style="thin"/>
    </border>
    <border>
      <left style="thin"/>
      <right/>
      <top style="thin"/>
      <bottom style="hair"/>
    </border>
    <border>
      <left style="thin"/>
      <right style="hair"/>
      <top style="hair"/>
      <bottom style="hair"/>
    </border>
    <border>
      <left style="thin"/>
      <right style="thin"/>
      <top style="thin"/>
      <bottom style="thin"/>
    </border>
    <border>
      <left style="thin"/>
      <right style="thin"/>
      <top/>
      <bottom style="medium"/>
    </border>
    <border>
      <left style="hair"/>
      <right style="hair"/>
      <top/>
      <bottom style="hair"/>
    </border>
    <border>
      <left/>
      <right/>
      <top style="thin"/>
      <bottom style="double"/>
    </border>
    <border>
      <left/>
      <right/>
      <top style="thin"/>
      <bottom style="medium"/>
    </border>
    <border>
      <left/>
      <right/>
      <top style="medium"/>
      <bottom style="medium"/>
    </border>
    <border>
      <left/>
      <right/>
      <top style="medium"/>
      <bottom style="double"/>
    </border>
    <border>
      <left style="thin"/>
      <right style="hair"/>
      <top style="hair"/>
      <bottom style="thin"/>
    </border>
    <border>
      <left style="thin"/>
      <right style="thin"/>
      <top/>
      <bottom style="hair"/>
    </border>
    <border>
      <left style="thin"/>
      <right style="thin"/>
      <top style="hair"/>
      <bottom style="hair"/>
    </border>
    <border>
      <left/>
      <right/>
      <top/>
      <bottom style="hair"/>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28" fillId="12"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0"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0"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9"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2" fillId="39" borderId="1" applyNumberFormat="0" applyAlignment="0" applyProtection="0"/>
    <xf numFmtId="0" fontId="38" fillId="0" borderId="0" applyNumberFormat="0" applyFill="0" applyBorder="0" applyAlignment="0" applyProtection="0"/>
    <xf numFmtId="0" fontId="29" fillId="40" borderId="0" applyNumberFormat="0" applyBorder="0" applyAlignment="0" applyProtection="0"/>
    <xf numFmtId="0" fontId="53" fillId="39" borderId="2" applyNumberFormat="0" applyAlignment="0" applyProtection="0"/>
    <xf numFmtId="0" fontId="30" fillId="41" borderId="3" applyNumberFormat="0" applyAlignment="0" applyProtection="0"/>
    <xf numFmtId="0" fontId="30" fillId="41" borderId="3" applyNumberFormat="0" applyAlignment="0" applyProtection="0"/>
    <xf numFmtId="0" fontId="38" fillId="0" borderId="4" applyNumberFormat="0" applyFill="0" applyAlignment="0" applyProtection="0"/>
    <xf numFmtId="0" fontId="31" fillId="42" borderId="5" applyNumberFormat="0" applyAlignment="0" applyProtection="0"/>
    <xf numFmtId="0" fontId="0" fillId="10" borderId="6" applyNumberFormat="0" applyFont="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54" fillId="43" borderId="2" applyNumberFormat="0" applyAlignment="0" applyProtection="0"/>
    <xf numFmtId="0" fontId="37" fillId="19" borderId="3" applyNumberFormat="0" applyAlignment="0" applyProtection="0"/>
    <xf numFmtId="0" fontId="55" fillId="0" borderId="7" applyNumberFormat="0" applyFill="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33" fillId="12" borderId="0" applyNumberFormat="0" applyBorder="0" applyAlignment="0" applyProtection="0"/>
    <xf numFmtId="0" fontId="57" fillId="44"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19" borderId="3" applyNumberFormat="0" applyAlignment="0" applyProtection="0"/>
    <xf numFmtId="0" fontId="29" fillId="40" borderId="0" applyNumberFormat="0" applyBorder="0" applyAlignment="0" applyProtection="0"/>
    <xf numFmtId="43" fontId="0" fillId="0" borderId="0" applyFont="0" applyFill="0" applyBorder="0" applyAlignment="0" applyProtection="0"/>
    <xf numFmtId="0" fontId="38" fillId="0" borderId="4" applyNumberFormat="0" applyFill="0" applyAlignment="0" applyProtection="0"/>
    <xf numFmtId="0" fontId="39" fillId="19" borderId="0" applyNumberFormat="0" applyBorder="0" applyAlignment="0" applyProtection="0"/>
    <xf numFmtId="0" fontId="39"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0" borderId="6" applyNumberFormat="0" applyFont="0" applyAlignment="0" applyProtection="0"/>
    <xf numFmtId="0" fontId="0" fillId="45" borderId="11" applyNumberFormat="0" applyFont="0" applyAlignment="0" applyProtection="0"/>
    <xf numFmtId="0" fontId="40" fillId="41" borderId="12" applyNumberFormat="0" applyAlignment="0" applyProtection="0"/>
    <xf numFmtId="9" fontId="0" fillId="0" borderId="0" applyFont="0" applyFill="0" applyBorder="0" applyAlignment="0" applyProtection="0"/>
    <xf numFmtId="0" fontId="33" fillId="12" borderId="0" applyNumberFormat="0" applyBorder="0" applyAlignment="0" applyProtection="0"/>
    <xf numFmtId="0" fontId="58" fillId="46" borderId="0" applyNumberFormat="0" applyBorder="0" applyAlignment="0" applyProtection="0"/>
    <xf numFmtId="0" fontId="40" fillId="41" borderId="12" applyNumberFormat="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42" fillId="0" borderId="13" applyNumberFormat="0" applyFill="0" applyAlignment="0" applyProtection="0"/>
    <xf numFmtId="0" fontId="59" fillId="0" borderId="0" applyNumberFormat="0" applyFill="0" applyBorder="0" applyAlignment="0" applyProtection="0"/>
    <xf numFmtId="0" fontId="60" fillId="0" borderId="14" applyNumberFormat="0" applyFill="0" applyAlignment="0" applyProtection="0"/>
    <xf numFmtId="0" fontId="61" fillId="0" borderId="15" applyNumberFormat="0" applyFill="0" applyAlignment="0" applyProtection="0"/>
    <xf numFmtId="0" fontId="62" fillId="0" borderId="16" applyNumberFormat="0" applyFill="0" applyAlignment="0" applyProtection="0"/>
    <xf numFmtId="0" fontId="62" fillId="0" borderId="0" applyNumberFormat="0" applyFill="0" applyBorder="0" applyAlignment="0" applyProtection="0"/>
    <xf numFmtId="0" fontId="31" fillId="42" borderId="5" applyNumberFormat="0" applyAlignment="0" applyProtection="0"/>
    <xf numFmtId="0" fontId="63" fillId="0" borderId="17"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5" fillId="47" borderId="18" applyNumberFormat="0" applyAlignment="0" applyProtection="0"/>
  </cellStyleXfs>
  <cellXfs count="457">
    <xf numFmtId="0" fontId="0" fillId="0" borderId="0" xfId="0" applyAlignment="1">
      <alignment/>
    </xf>
    <xf numFmtId="0" fontId="0" fillId="0" borderId="0" xfId="0" applyAlignment="1">
      <alignment vertical="center"/>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0" xfId="0" applyAlignment="1" applyProtection="1">
      <alignment horizontal="right" vertical="center"/>
      <protection/>
    </xf>
    <xf numFmtId="170" fontId="0" fillId="48" borderId="0" xfId="0" applyNumberFormat="1" applyFont="1" applyFill="1" applyAlignment="1" applyProtection="1">
      <alignment horizontal="right" vertical="center"/>
      <protection locked="0"/>
    </xf>
    <xf numFmtId="170" fontId="0" fillId="0" borderId="0" xfId="0" applyNumberFormat="1" applyAlignment="1">
      <alignment/>
    </xf>
    <xf numFmtId="170" fontId="2" fillId="49" borderId="0" xfId="0" applyNumberFormat="1" applyFont="1" applyFill="1" applyAlignment="1">
      <alignment/>
    </xf>
    <xf numFmtId="170" fontId="2" fillId="0" borderId="0" xfId="0" applyNumberFormat="1" applyFont="1" applyAlignment="1">
      <alignment/>
    </xf>
    <xf numFmtId="170" fontId="2" fillId="31" borderId="0" xfId="0" applyNumberFormat="1" applyFont="1" applyFill="1" applyAlignment="1">
      <alignment/>
    </xf>
    <xf numFmtId="0" fontId="2" fillId="0" borderId="0" xfId="0" applyFont="1" applyAlignment="1">
      <alignment/>
    </xf>
    <xf numFmtId="170" fontId="2" fillId="32" borderId="0" xfId="0" applyNumberFormat="1" applyFont="1" applyFill="1" applyAlignment="1">
      <alignment/>
    </xf>
    <xf numFmtId="170" fontId="2" fillId="50" borderId="0" xfId="0" applyNumberFormat="1" applyFont="1" applyFill="1" applyAlignment="1">
      <alignment/>
    </xf>
    <xf numFmtId="170" fontId="2" fillId="51" borderId="0" xfId="0" applyNumberFormat="1" applyFont="1" applyFill="1" applyAlignment="1">
      <alignment/>
    </xf>
    <xf numFmtId="170" fontId="2" fillId="48" borderId="0" xfId="0" applyNumberFormat="1" applyFont="1" applyFill="1" applyAlignment="1">
      <alignment/>
    </xf>
    <xf numFmtId="170" fontId="2" fillId="9" borderId="0" xfId="0" applyNumberFormat="1" applyFont="1" applyFill="1" applyAlignment="1">
      <alignment/>
    </xf>
    <xf numFmtId="9" fontId="0" fillId="0" borderId="0" xfId="0" applyNumberFormat="1" applyAlignment="1">
      <alignment/>
    </xf>
    <xf numFmtId="170" fontId="5" fillId="52" borderId="0" xfId="0" applyNumberFormat="1" applyFont="1" applyFill="1" applyAlignment="1">
      <alignment/>
    </xf>
    <xf numFmtId="170" fontId="5" fillId="53" borderId="0" xfId="0" applyNumberFormat="1" applyFont="1" applyFill="1" applyAlignment="1">
      <alignment/>
    </xf>
    <xf numFmtId="0" fontId="4" fillId="0" borderId="0" xfId="0" applyFont="1" applyAlignment="1">
      <alignment horizontal="right"/>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horizontal="right" vertical="center"/>
    </xf>
    <xf numFmtId="170" fontId="7" fillId="48" borderId="0" xfId="0" applyNumberFormat="1" applyFont="1" applyFill="1" applyAlignment="1" applyProtection="1">
      <alignment horizontal="right" vertical="center"/>
      <protection locked="0"/>
    </xf>
    <xf numFmtId="0" fontId="7" fillId="0" borderId="0" xfId="0" applyFont="1" applyAlignment="1">
      <alignment/>
    </xf>
    <xf numFmtId="0" fontId="7" fillId="0" borderId="19"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xf>
    <xf numFmtId="0" fontId="7" fillId="0" borderId="27" xfId="0" applyFont="1" applyBorder="1" applyAlignment="1">
      <alignment horizontal="center"/>
    </xf>
    <xf numFmtId="0" fontId="10" fillId="0" borderId="19" xfId="0" applyFont="1" applyBorder="1" applyAlignment="1">
      <alignment horizontal="center"/>
    </xf>
    <xf numFmtId="0" fontId="7" fillId="0" borderId="25" xfId="0" applyFont="1" applyBorder="1" applyAlignment="1">
      <alignment vertical="center"/>
    </xf>
    <xf numFmtId="0" fontId="7" fillId="0" borderId="0" xfId="0" applyFont="1" applyBorder="1" applyAlignment="1">
      <alignment vertical="center"/>
    </xf>
    <xf numFmtId="0" fontId="7" fillId="0" borderId="26" xfId="0" applyFont="1" applyBorder="1" applyAlignment="1">
      <alignment/>
    </xf>
    <xf numFmtId="0" fontId="7" fillId="0" borderId="28" xfId="0" applyFont="1" applyBorder="1" applyAlignment="1">
      <alignment/>
    </xf>
    <xf numFmtId="0" fontId="7" fillId="0" borderId="22" xfId="0" applyFont="1" applyBorder="1" applyAlignment="1">
      <alignment/>
    </xf>
    <xf numFmtId="0" fontId="7" fillId="0" borderId="29" xfId="0" applyFont="1" applyBorder="1" applyAlignment="1">
      <alignment vertical="center"/>
    </xf>
    <xf numFmtId="0" fontId="7" fillId="0" borderId="30" xfId="0" applyFont="1" applyBorder="1" applyAlignment="1">
      <alignment vertical="center"/>
    </xf>
    <xf numFmtId="0" fontId="8" fillId="0" borderId="31" xfId="0" applyFont="1" applyBorder="1" applyAlignment="1">
      <alignment horizontal="center" vertical="center"/>
    </xf>
    <xf numFmtId="0" fontId="8" fillId="0" borderId="30" xfId="0" applyFont="1" applyBorder="1" applyAlignment="1">
      <alignment vertical="center"/>
    </xf>
    <xf numFmtId="0" fontId="8" fillId="0" borderId="32" xfId="0" applyFont="1" applyBorder="1" applyAlignment="1">
      <alignment horizontal="center" vertical="center"/>
    </xf>
    <xf numFmtId="0" fontId="7" fillId="0" borderId="25" xfId="0" applyFont="1" applyBorder="1" applyAlignment="1">
      <alignment/>
    </xf>
    <xf numFmtId="0" fontId="7" fillId="0" borderId="33" xfId="0" applyFont="1" applyBorder="1" applyAlignment="1">
      <alignment horizontal="center"/>
    </xf>
    <xf numFmtId="0" fontId="7" fillId="0" borderId="0" xfId="0" applyFont="1" applyBorder="1" applyAlignment="1">
      <alignment horizont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7" fillId="0" borderId="21" xfId="0" applyFont="1" applyBorder="1" applyAlignment="1">
      <alignment horizontal="center" vertical="center"/>
    </xf>
    <xf numFmtId="0" fontId="7" fillId="0" borderId="38" xfId="0" applyFont="1" applyBorder="1" applyAlignment="1">
      <alignment horizontal="center" vertical="center"/>
    </xf>
    <xf numFmtId="170" fontId="7" fillId="48" borderId="38" xfId="0" applyNumberFormat="1" applyFont="1" applyFill="1" applyBorder="1" applyAlignment="1" applyProtection="1">
      <alignment horizontal="center" vertical="center"/>
      <protection locked="0"/>
    </xf>
    <xf numFmtId="0" fontId="7" fillId="0" borderId="35" xfId="0" applyFont="1" applyBorder="1" applyAlignment="1">
      <alignment horizontal="center" vertical="center"/>
    </xf>
    <xf numFmtId="170" fontId="7" fillId="0" borderId="39" xfId="0" applyNumberFormat="1" applyFont="1" applyBorder="1" applyAlignment="1">
      <alignment horizontal="center" vertical="center"/>
    </xf>
    <xf numFmtId="171" fontId="7" fillId="48" borderId="38" xfId="0" applyNumberFormat="1" applyFont="1" applyFill="1" applyBorder="1" applyAlignment="1" applyProtection="1">
      <alignment horizontal="center" vertical="center"/>
      <protection locked="0"/>
    </xf>
    <xf numFmtId="172" fontId="7" fillId="0" borderId="39" xfId="0" applyNumberFormat="1" applyFont="1" applyBorder="1" applyAlignment="1">
      <alignment horizontal="center" vertical="center"/>
    </xf>
    <xf numFmtId="1" fontId="7" fillId="0" borderId="38" xfId="0" applyNumberFormat="1" applyFont="1" applyBorder="1" applyAlignment="1">
      <alignment horizontal="center" vertical="center"/>
    </xf>
    <xf numFmtId="170" fontId="7" fillId="0" borderId="38" xfId="0" applyNumberFormat="1"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horizontal="center" vertical="center"/>
    </xf>
    <xf numFmtId="170" fontId="7" fillId="0" borderId="41" xfId="0" applyNumberFormat="1" applyFont="1" applyBorder="1" applyAlignment="1">
      <alignment horizontal="center" vertical="center"/>
    </xf>
    <xf numFmtId="0" fontId="7" fillId="0" borderId="42" xfId="0" applyFont="1" applyBorder="1" applyAlignment="1">
      <alignment horizontal="center" vertical="center"/>
    </xf>
    <xf numFmtId="170" fontId="7" fillId="0" borderId="43" xfId="0" applyNumberFormat="1" applyFont="1" applyBorder="1" applyAlignment="1">
      <alignment horizontal="center" vertical="center"/>
    </xf>
    <xf numFmtId="0" fontId="7" fillId="0" borderId="28"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vertical="center"/>
    </xf>
    <xf numFmtId="0" fontId="7" fillId="0" borderId="44" xfId="0" applyFont="1" applyBorder="1" applyAlignment="1">
      <alignment vertical="center"/>
    </xf>
    <xf numFmtId="0" fontId="7" fillId="0" borderId="45" xfId="0" applyFont="1" applyBorder="1" applyAlignment="1">
      <alignment vertical="center"/>
    </xf>
    <xf numFmtId="0" fontId="8" fillId="0" borderId="34" xfId="0" applyFont="1" applyBorder="1" applyAlignment="1">
      <alignment vertical="center"/>
    </xf>
    <xf numFmtId="0" fontId="8" fillId="0" borderId="46" xfId="0" applyFont="1" applyBorder="1" applyAlignment="1">
      <alignment vertical="center"/>
    </xf>
    <xf numFmtId="0" fontId="7" fillId="0" borderId="47" xfId="0" applyFont="1" applyBorder="1" applyAlignment="1">
      <alignment vertical="center"/>
    </xf>
    <xf numFmtId="9" fontId="7" fillId="0" borderId="48" xfId="0" applyNumberFormat="1" applyFont="1" applyBorder="1" applyAlignment="1">
      <alignment horizontal="center" vertical="center"/>
    </xf>
    <xf numFmtId="0" fontId="7" fillId="0" borderId="48" xfId="0" applyFont="1" applyBorder="1" applyAlignment="1">
      <alignment horizontal="center" vertical="center"/>
    </xf>
    <xf numFmtId="170" fontId="7" fillId="0" borderId="49" xfId="0" applyNumberFormat="1" applyFont="1" applyBorder="1" applyAlignment="1">
      <alignment horizontal="center" vertical="center"/>
    </xf>
    <xf numFmtId="0" fontId="8" fillId="0" borderId="50" xfId="0" applyFont="1" applyBorder="1" applyAlignment="1">
      <alignment horizontal="center" vertical="center"/>
    </xf>
    <xf numFmtId="0" fontId="8" fillId="0" borderId="44" xfId="0" applyFont="1" applyBorder="1" applyAlignment="1">
      <alignment vertical="center"/>
    </xf>
    <xf numFmtId="0" fontId="8" fillId="0" borderId="45" xfId="0" applyFont="1" applyBorder="1" applyAlignment="1">
      <alignment horizontal="center" vertical="center"/>
    </xf>
    <xf numFmtId="170" fontId="7" fillId="0" borderId="42" xfId="0" applyNumberFormat="1" applyFont="1" applyBorder="1" applyAlignment="1">
      <alignment horizontal="center" vertical="center"/>
    </xf>
    <xf numFmtId="170" fontId="7" fillId="0" borderId="48" xfId="0" applyNumberFormat="1" applyFont="1" applyBorder="1" applyAlignment="1">
      <alignment horizontal="center" vertical="center"/>
    </xf>
    <xf numFmtId="0" fontId="7" fillId="0" borderId="47" xfId="0" applyFont="1" applyBorder="1" applyAlignment="1">
      <alignment horizontal="center" vertical="center"/>
    </xf>
    <xf numFmtId="0" fontId="7" fillId="0" borderId="51" xfId="0"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70" fontId="7" fillId="0" borderId="38" xfId="0" applyNumberFormat="1" applyFont="1" applyBorder="1" applyAlignment="1" applyProtection="1">
      <alignment horizontal="center" vertical="center"/>
      <protection/>
    </xf>
    <xf numFmtId="170" fontId="7" fillId="0" borderId="53" xfId="0" applyNumberFormat="1" applyFont="1" applyBorder="1" applyAlignment="1">
      <alignment horizontal="center" vertical="center"/>
    </xf>
    <xf numFmtId="170" fontId="7" fillId="0" borderId="0" xfId="0" applyNumberFormat="1" applyFont="1" applyBorder="1" applyAlignment="1">
      <alignment horizontal="center" vertical="center"/>
    </xf>
    <xf numFmtId="170" fontId="7" fillId="0" borderId="21" xfId="0" applyNumberFormat="1" applyFont="1" applyBorder="1" applyAlignment="1">
      <alignment vertical="center"/>
    </xf>
    <xf numFmtId="170" fontId="7" fillId="0" borderId="54" xfId="0" applyNumberFormat="1" applyFont="1" applyBorder="1" applyAlignment="1">
      <alignment horizontal="center" vertical="center"/>
    </xf>
    <xf numFmtId="0" fontId="7" fillId="0" borderId="47" xfId="0" applyFont="1" applyBorder="1" applyAlignment="1">
      <alignment horizontal="right" vertical="center"/>
    </xf>
    <xf numFmtId="0" fontId="8" fillId="0" borderId="47" xfId="0" applyFont="1" applyBorder="1" applyAlignment="1">
      <alignment horizontal="center" vertical="center"/>
    </xf>
    <xf numFmtId="170" fontId="8" fillId="0" borderId="49" xfId="0" applyNumberFormat="1" applyFont="1" applyBorder="1" applyAlignment="1">
      <alignment horizontal="center" vertical="center"/>
    </xf>
    <xf numFmtId="0" fontId="7" fillId="0" borderId="55" xfId="0" applyFont="1" applyBorder="1" applyAlignment="1">
      <alignment vertical="center"/>
    </xf>
    <xf numFmtId="0" fontId="8" fillId="0" borderId="19" xfId="0" applyFont="1" applyBorder="1" applyAlignment="1">
      <alignment horizontal="right" vertical="center"/>
    </xf>
    <xf numFmtId="0" fontId="7" fillId="0" borderId="51" xfId="0" applyFont="1" applyBorder="1" applyAlignment="1">
      <alignment vertical="center"/>
    </xf>
    <xf numFmtId="0" fontId="8" fillId="0" borderId="51" xfId="0" applyFont="1" applyBorder="1" applyAlignment="1">
      <alignment horizontal="right" vertical="center"/>
    </xf>
    <xf numFmtId="0" fontId="7" fillId="0" borderId="26" xfId="0" applyFont="1" applyBorder="1" applyAlignment="1">
      <alignment vertical="center"/>
    </xf>
    <xf numFmtId="0" fontId="7" fillId="0" borderId="22" xfId="0" applyFont="1" applyBorder="1" applyAlignment="1">
      <alignment vertical="center"/>
    </xf>
    <xf numFmtId="0" fontId="7" fillId="0" borderId="56" xfId="0" applyFont="1" applyBorder="1" applyAlignment="1">
      <alignment horizontal="center" vertical="center"/>
    </xf>
    <xf numFmtId="170" fontId="8" fillId="0" borderId="22" xfId="0" applyNumberFormat="1" applyFont="1" applyBorder="1" applyAlignment="1">
      <alignment horizontal="center" vertical="center"/>
    </xf>
    <xf numFmtId="170" fontId="8" fillId="0" borderId="56" xfId="0" applyNumberFormat="1" applyFont="1" applyBorder="1" applyAlignment="1">
      <alignment horizontal="center"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24"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19" xfId="0" applyFont="1" applyBorder="1" applyAlignment="1" applyProtection="1">
      <alignment vertical="center"/>
      <protection/>
    </xf>
    <xf numFmtId="0" fontId="7" fillId="0" borderId="30"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8" fillId="0" borderId="30" xfId="0" applyFont="1" applyBorder="1" applyAlignment="1" applyProtection="1">
      <alignment vertical="center"/>
      <protection/>
    </xf>
    <xf numFmtId="0" fontId="8" fillId="0" borderId="32"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170" fontId="7" fillId="0" borderId="38" xfId="0" applyNumberFormat="1" applyFont="1" applyFill="1" applyBorder="1" applyAlignment="1" applyProtection="1">
      <alignment horizontal="center" vertical="center"/>
      <protection/>
    </xf>
    <xf numFmtId="170" fontId="7" fillId="0" borderId="35" xfId="0" applyNumberFormat="1" applyFont="1" applyBorder="1" applyAlignment="1" applyProtection="1">
      <alignment horizontal="center" vertical="center"/>
      <protection/>
    </xf>
    <xf numFmtId="170" fontId="7" fillId="0" borderId="39" xfId="0" applyNumberFormat="1" applyFont="1" applyBorder="1" applyAlignment="1" applyProtection="1">
      <alignment horizontal="center" vertical="center"/>
      <protection/>
    </xf>
    <xf numFmtId="174" fontId="7" fillId="0" borderId="38" xfId="0" applyNumberFormat="1" applyFont="1" applyBorder="1" applyAlignment="1" applyProtection="1">
      <alignment horizontal="center" vertical="center"/>
      <protection/>
    </xf>
    <xf numFmtId="174" fontId="7" fillId="0" borderId="39" xfId="0" applyNumberFormat="1" applyFont="1" applyBorder="1" applyAlignment="1" applyProtection="1">
      <alignment horizontal="center" vertical="center"/>
      <protection/>
    </xf>
    <xf numFmtId="170" fontId="7" fillId="48" borderId="38" xfId="0" applyNumberFormat="1"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xf>
    <xf numFmtId="172" fontId="7" fillId="0" borderId="41" xfId="0" applyNumberFormat="1" applyFont="1" applyBorder="1" applyAlignment="1" applyProtection="1">
      <alignment horizontal="center" vertical="center"/>
      <protection/>
    </xf>
    <xf numFmtId="172" fontId="7" fillId="0" borderId="22" xfId="0" applyNumberFormat="1" applyFont="1" applyBorder="1" applyAlignment="1" applyProtection="1">
      <alignment horizontal="center" vertical="center"/>
      <protection/>
    </xf>
    <xf numFmtId="172" fontId="7" fillId="0" borderId="23"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7" fillId="0" borderId="3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1" xfId="0" applyFont="1" applyBorder="1" applyAlignment="1" applyProtection="1">
      <alignment horizontal="center" vertical="center"/>
      <protection/>
    </xf>
    <xf numFmtId="170" fontId="7" fillId="0" borderId="38" xfId="0" applyNumberFormat="1"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172" fontId="7" fillId="0" borderId="38" xfId="0" applyNumberFormat="1" applyFont="1" applyBorder="1" applyAlignment="1" applyProtection="1">
      <alignment horizontal="center" vertical="center"/>
      <protection/>
    </xf>
    <xf numFmtId="172" fontId="7" fillId="0" borderId="39" xfId="0" applyNumberFormat="1" applyFont="1" applyBorder="1" applyAlignment="1" applyProtection="1">
      <alignment horizontal="center" vertical="center"/>
      <protection/>
    </xf>
    <xf numFmtId="0" fontId="7" fillId="0" borderId="56" xfId="0" applyFont="1" applyBorder="1" applyAlignment="1" applyProtection="1">
      <alignment horizontal="center" vertical="center"/>
      <protection/>
    </xf>
    <xf numFmtId="174" fontId="7" fillId="0" borderId="56" xfId="0" applyNumberFormat="1" applyFont="1" applyBorder="1" applyAlignment="1" applyProtection="1">
      <alignment horizontal="center" vertical="center"/>
      <protection/>
    </xf>
    <xf numFmtId="174" fontId="7" fillId="0" borderId="22" xfId="0" applyNumberFormat="1" applyFont="1" applyBorder="1" applyAlignment="1" applyProtection="1">
      <alignment horizontal="center" vertical="center"/>
      <protection/>
    </xf>
    <xf numFmtId="174" fontId="7" fillId="0" borderId="23" xfId="0" applyNumberFormat="1" applyFont="1" applyBorder="1" applyAlignment="1" applyProtection="1">
      <alignment horizontal="center" vertical="center"/>
      <protection/>
    </xf>
    <xf numFmtId="0" fontId="7" fillId="0" borderId="0" xfId="0" applyFont="1" applyAlignment="1" applyProtection="1">
      <alignment horizontal="center"/>
      <protection/>
    </xf>
    <xf numFmtId="0" fontId="7" fillId="0" borderId="22" xfId="0" applyFont="1" applyBorder="1" applyAlignment="1" applyProtection="1">
      <alignment horizontal="center" vertical="center"/>
      <protection/>
    </xf>
    <xf numFmtId="0" fontId="7" fillId="0" borderId="0" xfId="0" applyFont="1" applyAlignment="1" applyProtection="1">
      <alignment/>
      <protection locked="0"/>
    </xf>
    <xf numFmtId="0" fontId="7" fillId="0" borderId="0" xfId="0" applyFont="1" applyAlignment="1" applyProtection="1">
      <alignment/>
      <protection/>
    </xf>
    <xf numFmtId="0" fontId="10" fillId="0" borderId="38" xfId="0" applyFont="1" applyBorder="1" applyAlignment="1" applyProtection="1">
      <alignment horizontal="center" vertical="center"/>
      <protection/>
    </xf>
    <xf numFmtId="0" fontId="7" fillId="0" borderId="24" xfId="0" applyFont="1" applyBorder="1" applyAlignment="1" applyProtection="1">
      <alignment/>
      <protection/>
    </xf>
    <xf numFmtId="0" fontId="7" fillId="0" borderId="20" xfId="0" applyFont="1" applyBorder="1" applyAlignment="1" applyProtection="1">
      <alignment/>
      <protection/>
    </xf>
    <xf numFmtId="0" fontId="7" fillId="0" borderId="25" xfId="0" applyFont="1" applyBorder="1" applyAlignment="1" applyProtection="1">
      <alignment/>
      <protection/>
    </xf>
    <xf numFmtId="0" fontId="7" fillId="0" borderId="21" xfId="0" applyFont="1" applyBorder="1" applyAlignment="1" applyProtection="1">
      <alignment/>
      <protection/>
    </xf>
    <xf numFmtId="0" fontId="7" fillId="0" borderId="0" xfId="0" applyFont="1" applyAlignment="1" applyProtection="1" quotePrefix="1">
      <alignment/>
      <protection/>
    </xf>
    <xf numFmtId="173" fontId="7" fillId="0" borderId="21" xfId="0" applyNumberFormat="1" applyFont="1" applyBorder="1" applyAlignment="1" applyProtection="1">
      <alignment/>
      <protection/>
    </xf>
    <xf numFmtId="0" fontId="7" fillId="0" borderId="20" xfId="0" applyFont="1" applyBorder="1" applyAlignment="1" applyProtection="1">
      <alignment vertical="center"/>
      <protection/>
    </xf>
    <xf numFmtId="0" fontId="7" fillId="0" borderId="26" xfId="0" applyFont="1" applyBorder="1" applyAlignment="1" applyProtection="1">
      <alignment/>
      <protection/>
    </xf>
    <xf numFmtId="0" fontId="7" fillId="0" borderId="23" xfId="0" applyFont="1" applyFill="1" applyBorder="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8" fillId="0" borderId="0" xfId="0" applyFont="1" applyAlignment="1" applyProtection="1">
      <alignment horizont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7" fillId="0" borderId="0" xfId="0" applyFont="1" applyAlignment="1" applyProtection="1">
      <alignment horizontal="center"/>
      <protection/>
    </xf>
    <xf numFmtId="0" fontId="8" fillId="0" borderId="19"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29" xfId="0" applyFont="1" applyBorder="1" applyAlignment="1" applyProtection="1">
      <alignment horizontal="left" vertical="center"/>
      <protection/>
    </xf>
    <xf numFmtId="0" fontId="8" fillId="0" borderId="30" xfId="0" applyFont="1" applyBorder="1" applyAlignment="1" applyProtection="1">
      <alignment vertical="center"/>
      <protection/>
    </xf>
    <xf numFmtId="0" fontId="8" fillId="0" borderId="32" xfId="0" applyFont="1" applyBorder="1" applyAlignment="1" applyProtection="1">
      <alignment horizontal="center" vertical="center"/>
      <protection/>
    </xf>
    <xf numFmtId="0" fontId="7" fillId="0" borderId="34" xfId="0" applyFont="1" applyBorder="1" applyAlignment="1" applyProtection="1">
      <alignment vertical="center"/>
      <protection/>
    </xf>
    <xf numFmtId="170" fontId="7" fillId="0" borderId="35" xfId="0" applyNumberFormat="1" applyFont="1" applyBorder="1" applyAlignment="1" applyProtection="1">
      <alignment vertical="center"/>
      <protection/>
    </xf>
    <xf numFmtId="170" fontId="7" fillId="0" borderId="39" xfId="0" applyNumberFormat="1" applyFont="1" applyBorder="1" applyAlignment="1" applyProtection="1">
      <alignment vertical="center"/>
      <protection/>
    </xf>
    <xf numFmtId="174" fontId="7" fillId="48" borderId="38" xfId="0" applyNumberFormat="1" applyFont="1" applyFill="1" applyBorder="1" applyAlignment="1" applyProtection="1">
      <alignment vertical="center"/>
      <protection locked="0"/>
    </xf>
    <xf numFmtId="170" fontId="7" fillId="0" borderId="38" xfId="0" applyNumberFormat="1" applyFont="1" applyBorder="1" applyAlignment="1" applyProtection="1">
      <alignment vertical="center"/>
      <protection/>
    </xf>
    <xf numFmtId="170" fontId="7" fillId="48" borderId="38" xfId="0" applyNumberFormat="1" applyFont="1" applyFill="1" applyBorder="1" applyAlignment="1" applyProtection="1">
      <alignment vertical="center"/>
      <protection locked="0"/>
    </xf>
    <xf numFmtId="0" fontId="7" fillId="0" borderId="26" xfId="0" applyFont="1" applyBorder="1" applyAlignment="1" applyProtection="1">
      <alignment vertical="center"/>
      <protection/>
    </xf>
    <xf numFmtId="170" fontId="7" fillId="0" borderId="41" xfId="0" applyNumberFormat="1" applyFont="1" applyBorder="1" applyAlignment="1" applyProtection="1">
      <alignment vertical="center"/>
      <protection/>
    </xf>
    <xf numFmtId="172" fontId="7" fillId="0" borderId="22" xfId="0" applyNumberFormat="1" applyFont="1" applyBorder="1" applyAlignment="1" applyProtection="1">
      <alignment vertical="center"/>
      <protection/>
    </xf>
    <xf numFmtId="172" fontId="7" fillId="0" borderId="23" xfId="0" applyNumberFormat="1" applyFont="1" applyBorder="1" applyAlignment="1" applyProtection="1">
      <alignment vertical="center"/>
      <protection/>
    </xf>
    <xf numFmtId="0" fontId="7" fillId="0" borderId="0" xfId="0" applyFont="1" applyBorder="1" applyAlignment="1" applyProtection="1">
      <alignment vertical="center"/>
      <protection/>
    </xf>
    <xf numFmtId="170" fontId="7" fillId="0" borderId="0" xfId="0" applyNumberFormat="1" applyFont="1" applyBorder="1" applyAlignment="1" applyProtection="1">
      <alignment vertical="center"/>
      <protection/>
    </xf>
    <xf numFmtId="172" fontId="7" fillId="0" borderId="0" xfId="0" applyNumberFormat="1" applyFont="1" applyBorder="1" applyAlignment="1" applyProtection="1">
      <alignment vertical="center"/>
      <protection/>
    </xf>
    <xf numFmtId="174" fontId="7" fillId="0" borderId="38" xfId="0" applyNumberFormat="1" applyFont="1" applyBorder="1" applyAlignment="1" applyProtection="1">
      <alignment vertical="center"/>
      <protection/>
    </xf>
    <xf numFmtId="170" fontId="7" fillId="0" borderId="31" xfId="0" applyNumberFormat="1" applyFont="1" applyBorder="1" applyAlignment="1" applyProtection="1">
      <alignment vertical="center"/>
      <protection/>
    </xf>
    <xf numFmtId="170" fontId="7" fillId="0" borderId="21" xfId="0" applyNumberFormat="1" applyFont="1" applyBorder="1" applyAlignment="1" applyProtection="1">
      <alignment vertical="center"/>
      <protection/>
    </xf>
    <xf numFmtId="175" fontId="7" fillId="0" borderId="0" xfId="109" applyNumberFormat="1" applyFont="1" applyBorder="1" applyAlignment="1" applyProtection="1">
      <alignment vertical="center"/>
      <protection/>
    </xf>
    <xf numFmtId="172" fontId="7" fillId="0" borderId="35" xfId="0" applyNumberFormat="1" applyFont="1" applyBorder="1" applyAlignment="1" applyProtection="1">
      <alignment vertical="center"/>
      <protection/>
    </xf>
    <xf numFmtId="172" fontId="7" fillId="0" borderId="39" xfId="0" applyNumberFormat="1" applyFont="1" applyBorder="1" applyAlignment="1" applyProtection="1">
      <alignment vertical="center"/>
      <protection/>
    </xf>
    <xf numFmtId="170" fontId="7" fillId="0" borderId="56" xfId="0" applyNumberFormat="1" applyFont="1" applyBorder="1" applyAlignment="1" applyProtection="1">
      <alignment vertical="center"/>
      <protection/>
    </xf>
    <xf numFmtId="170" fontId="7" fillId="0" borderId="22" xfId="0" applyNumberFormat="1" applyFont="1" applyBorder="1" applyAlignment="1" applyProtection="1">
      <alignment vertical="center"/>
      <protection/>
    </xf>
    <xf numFmtId="170" fontId="7" fillId="0" borderId="23" xfId="0" applyNumberFormat="1" applyFont="1" applyBorder="1" applyAlignment="1" applyProtection="1">
      <alignment vertical="center"/>
      <protection/>
    </xf>
    <xf numFmtId="0" fontId="8" fillId="0" borderId="23" xfId="0" applyFont="1" applyBorder="1" applyAlignment="1">
      <alignment horizontal="right" vertical="center"/>
    </xf>
    <xf numFmtId="0" fontId="13" fillId="0" borderId="24" xfId="0" applyFont="1" applyBorder="1" applyAlignment="1" applyProtection="1">
      <alignment vertical="center"/>
      <protection/>
    </xf>
    <xf numFmtId="0" fontId="13" fillId="0" borderId="0" xfId="0" applyFont="1" applyAlignment="1">
      <alignment vertical="center"/>
    </xf>
    <xf numFmtId="0" fontId="13" fillId="0" borderId="24" xfId="0" applyFont="1" applyBorder="1" applyAlignment="1">
      <alignment vertical="center"/>
    </xf>
    <xf numFmtId="0" fontId="13" fillId="0" borderId="57" xfId="0" applyFont="1" applyBorder="1" applyAlignment="1">
      <alignment vertical="center"/>
    </xf>
    <xf numFmtId="0" fontId="13" fillId="0" borderId="46" xfId="0" applyFont="1" applyBorder="1" applyAlignment="1">
      <alignment vertical="center"/>
    </xf>
    <xf numFmtId="0" fontId="7" fillId="0" borderId="38" xfId="0" applyFont="1" applyBorder="1" applyAlignment="1">
      <alignment horizontal="center"/>
    </xf>
    <xf numFmtId="0" fontId="10" fillId="0" borderId="38" xfId="0" applyFont="1" applyBorder="1" applyAlignment="1">
      <alignment horizontal="center"/>
    </xf>
    <xf numFmtId="0" fontId="7" fillId="0" borderId="24"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22" xfId="0" applyFont="1" applyBorder="1" applyAlignment="1" applyProtection="1">
      <alignment vertical="center"/>
      <protection/>
    </xf>
    <xf numFmtId="0" fontId="7" fillId="0" borderId="47" xfId="0" applyFont="1" applyBorder="1" applyAlignment="1" applyProtection="1">
      <alignment vertical="center"/>
      <protection/>
    </xf>
    <xf numFmtId="9" fontId="7" fillId="48" borderId="38" xfId="121" applyFont="1" applyFill="1" applyBorder="1" applyAlignment="1" applyProtection="1">
      <alignment horizontal="center" vertical="center"/>
      <protection locked="0"/>
    </xf>
    <xf numFmtId="0" fontId="8"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7" fillId="0" borderId="37" xfId="0" applyFont="1" applyBorder="1" applyAlignment="1" applyProtection="1">
      <alignment horizontal="center" vertical="center"/>
      <protection/>
    </xf>
    <xf numFmtId="0" fontId="8" fillId="0" borderId="0" xfId="0" applyFont="1" applyAlignment="1">
      <alignment/>
    </xf>
    <xf numFmtId="9" fontId="7" fillId="0" borderId="39" xfId="121" applyFont="1" applyBorder="1" applyAlignment="1">
      <alignment horizontal="center" vertical="center"/>
    </xf>
    <xf numFmtId="0" fontId="7" fillId="0" borderId="33" xfId="0" applyFont="1" applyBorder="1" applyAlignment="1">
      <alignment/>
    </xf>
    <xf numFmtId="16" fontId="7" fillId="0" borderId="33" xfId="0" applyNumberFormat="1" applyFont="1" applyBorder="1" applyAlignment="1" quotePrefix="1">
      <alignment horizontal="center"/>
    </xf>
    <xf numFmtId="1" fontId="7" fillId="0" borderId="33" xfId="0" applyNumberFormat="1" applyFont="1" applyBorder="1" applyAlignment="1">
      <alignment horizontal="center"/>
    </xf>
    <xf numFmtId="173" fontId="7" fillId="0" borderId="33" xfId="0" applyNumberFormat="1" applyFont="1" applyBorder="1" applyAlignment="1">
      <alignment horizontal="center"/>
    </xf>
    <xf numFmtId="1" fontId="7" fillId="0" borderId="28" xfId="0" applyNumberFormat="1" applyFont="1" applyBorder="1" applyAlignment="1">
      <alignment horizontal="center"/>
    </xf>
    <xf numFmtId="173" fontId="7" fillId="0" borderId="28" xfId="0" applyNumberFormat="1" applyFont="1" applyBorder="1" applyAlignment="1">
      <alignment horizontal="center"/>
    </xf>
    <xf numFmtId="0" fontId="7" fillId="0" borderId="19" xfId="0" applyFont="1" applyBorder="1" applyAlignment="1" applyProtection="1">
      <alignment vertical="center"/>
      <protection locked="0"/>
    </xf>
    <xf numFmtId="0" fontId="7" fillId="0" borderId="0" xfId="0" applyFont="1" applyAlignment="1">
      <alignment horizontal="left"/>
    </xf>
    <xf numFmtId="0" fontId="14" fillId="0" borderId="27" xfId="0" applyFont="1" applyBorder="1" applyAlignment="1">
      <alignment horizontal="left"/>
    </xf>
    <xf numFmtId="0" fontId="7" fillId="0" borderId="33" xfId="0" applyFont="1" applyBorder="1" applyAlignment="1">
      <alignment horizontal="left"/>
    </xf>
    <xf numFmtId="0" fontId="7" fillId="0" borderId="28" xfId="0" applyFont="1" applyBorder="1" applyAlignment="1">
      <alignment horizontal="left"/>
    </xf>
    <xf numFmtId="1" fontId="7" fillId="0" borderId="33" xfId="0" applyNumberFormat="1" applyFont="1" applyBorder="1" applyAlignment="1">
      <alignment horizontal="left"/>
    </xf>
    <xf numFmtId="1" fontId="7" fillId="0" borderId="28" xfId="0" applyNumberFormat="1" applyFont="1" applyBorder="1" applyAlignment="1">
      <alignment horizontal="left"/>
    </xf>
    <xf numFmtId="0" fontId="7" fillId="0" borderId="58" xfId="0" applyFont="1" applyBorder="1" applyAlignment="1">
      <alignment horizontal="left"/>
    </xf>
    <xf numFmtId="0" fontId="7" fillId="0" borderId="50" xfId="0" applyFont="1" applyBorder="1" applyAlignment="1">
      <alignment horizontal="right" vertical="center"/>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2" fontId="7" fillId="0" borderId="39" xfId="0" applyNumberFormat="1" applyFont="1" applyBorder="1" applyAlignment="1" applyProtection="1">
      <alignment horizontal="center" vertical="center"/>
      <protection/>
    </xf>
    <xf numFmtId="0" fontId="8" fillId="0" borderId="59" xfId="0" applyFont="1" applyBorder="1" applyAlignment="1">
      <alignment/>
    </xf>
    <xf numFmtId="172" fontId="7" fillId="48" borderId="38" xfId="0" applyNumberFormat="1" applyFont="1" applyFill="1" applyBorder="1" applyAlignment="1" applyProtection="1">
      <alignment horizontal="center" vertical="center"/>
      <protection locked="0"/>
    </xf>
    <xf numFmtId="0" fontId="15" fillId="0" borderId="0" xfId="0" applyFont="1" applyAlignment="1" applyProtection="1">
      <alignment horizontal="right" vertical="center"/>
      <protection/>
    </xf>
    <xf numFmtId="2" fontId="7" fillId="0" borderId="0" xfId="0" applyNumberFormat="1" applyFont="1" applyAlignment="1" applyProtection="1">
      <alignment horizontal="center" vertical="center"/>
      <protection/>
    </xf>
    <xf numFmtId="0" fontId="7" fillId="0" borderId="28" xfId="0" applyFont="1" applyBorder="1" applyAlignment="1" applyProtection="1">
      <alignment horizontal="center"/>
      <protection locked="0"/>
    </xf>
    <xf numFmtId="0" fontId="7" fillId="0" borderId="59" xfId="0" applyFont="1" applyBorder="1" applyAlignment="1">
      <alignment horizontal="left"/>
    </xf>
    <xf numFmtId="0" fontId="7" fillId="0" borderId="59" xfId="0" applyFont="1" applyBorder="1" applyAlignment="1">
      <alignment horizontal="center"/>
    </xf>
    <xf numFmtId="0" fontId="7" fillId="0" borderId="0" xfId="0" applyFont="1" applyAlignment="1">
      <alignment horizontal="right"/>
    </xf>
    <xf numFmtId="0" fontId="7" fillId="0" borderId="46" xfId="0" applyFont="1" applyBorder="1" applyAlignment="1">
      <alignment/>
    </xf>
    <xf numFmtId="0" fontId="7" fillId="0" borderId="47" xfId="0" applyFont="1" applyBorder="1" applyAlignment="1" applyProtection="1">
      <alignment/>
      <protection locked="0"/>
    </xf>
    <xf numFmtId="0" fontId="7" fillId="0" borderId="47" xfId="0" applyFont="1" applyBorder="1" applyAlignment="1">
      <alignment/>
    </xf>
    <xf numFmtId="0" fontId="7" fillId="0" borderId="49" xfId="0" applyFont="1" applyBorder="1" applyAlignment="1" applyProtection="1">
      <alignment/>
      <protection locked="0"/>
    </xf>
    <xf numFmtId="0" fontId="7" fillId="48" borderId="50" xfId="0" applyFont="1" applyFill="1" applyBorder="1" applyAlignment="1" applyProtection="1">
      <alignment horizontal="center" vertical="center"/>
      <protection locked="0"/>
    </xf>
    <xf numFmtId="170" fontId="8" fillId="0" borderId="0" xfId="0" applyNumberFormat="1" applyFont="1" applyAlignment="1" applyProtection="1">
      <alignment horizontal="center"/>
      <protection/>
    </xf>
    <xf numFmtId="170" fontId="7" fillId="0" borderId="0" xfId="0" applyNumberFormat="1" applyFont="1" applyAlignment="1">
      <alignment/>
    </xf>
    <xf numFmtId="0" fontId="0" fillId="41" borderId="0" xfId="0" applyFill="1" applyAlignment="1">
      <alignment/>
    </xf>
    <xf numFmtId="0" fontId="7" fillId="41" borderId="0" xfId="0" applyFont="1" applyFill="1" applyAlignment="1">
      <alignment/>
    </xf>
    <xf numFmtId="0" fontId="7" fillId="41" borderId="0" xfId="0" applyFont="1" applyFill="1" applyBorder="1" applyAlignment="1">
      <alignment/>
    </xf>
    <xf numFmtId="173" fontId="0" fillId="41" borderId="33" xfId="0" applyNumberFormat="1" applyFill="1" applyBorder="1" applyAlignment="1">
      <alignment horizontal="center"/>
    </xf>
    <xf numFmtId="173" fontId="0" fillId="41" borderId="28" xfId="0" applyNumberFormat="1" applyFill="1" applyBorder="1" applyAlignment="1">
      <alignment horizontal="center"/>
    </xf>
    <xf numFmtId="0" fontId="0" fillId="41" borderId="22" xfId="0" applyFill="1" applyBorder="1" applyAlignment="1">
      <alignment/>
    </xf>
    <xf numFmtId="0" fontId="0" fillId="41" borderId="23" xfId="0" applyFill="1" applyBorder="1" applyAlignment="1">
      <alignment/>
    </xf>
    <xf numFmtId="0" fontId="0" fillId="41" borderId="0" xfId="0" applyFill="1" applyBorder="1" applyAlignment="1">
      <alignment/>
    </xf>
    <xf numFmtId="0" fontId="4" fillId="41" borderId="0" xfId="0" applyFont="1" applyFill="1" applyAlignment="1">
      <alignment/>
    </xf>
    <xf numFmtId="0" fontId="18" fillId="0" borderId="21" xfId="0" applyFont="1" applyBorder="1" applyAlignment="1">
      <alignment horizontal="right" vertical="center"/>
    </xf>
    <xf numFmtId="0" fontId="18" fillId="0" borderId="0" xfId="0" applyFont="1" applyBorder="1" applyAlignment="1">
      <alignment vertical="center"/>
    </xf>
    <xf numFmtId="0" fontId="2" fillId="41" borderId="0" xfId="0" applyFont="1" applyFill="1" applyAlignment="1">
      <alignment/>
    </xf>
    <xf numFmtId="0" fontId="2" fillId="41" borderId="28" xfId="0" applyFont="1" applyFill="1" applyBorder="1" applyAlignment="1">
      <alignment/>
    </xf>
    <xf numFmtId="0" fontId="0" fillId="41" borderId="33" xfId="0" applyFill="1" applyBorder="1" applyAlignment="1">
      <alignment horizontal="center"/>
    </xf>
    <xf numFmtId="0" fontId="4" fillId="41" borderId="33" xfId="0" applyFont="1" applyFill="1" applyBorder="1" applyAlignment="1">
      <alignment/>
    </xf>
    <xf numFmtId="14" fontId="0" fillId="41" borderId="33" xfId="0" applyNumberFormat="1" applyFill="1" applyBorder="1" applyAlignment="1">
      <alignment horizontal="center"/>
    </xf>
    <xf numFmtId="0" fontId="4" fillId="41" borderId="33" xfId="0" applyFont="1" applyFill="1" applyBorder="1" applyAlignment="1">
      <alignment horizontal="left"/>
    </xf>
    <xf numFmtId="0" fontId="0" fillId="41" borderId="60" xfId="0" applyFill="1" applyBorder="1" applyAlignment="1">
      <alignment horizontal="center"/>
    </xf>
    <xf numFmtId="0" fontId="4" fillId="41" borderId="60" xfId="0" applyFont="1" applyFill="1" applyBorder="1" applyAlignment="1">
      <alignment/>
    </xf>
    <xf numFmtId="14" fontId="0" fillId="41" borderId="60" xfId="0" applyNumberFormat="1" applyFill="1" applyBorder="1" applyAlignment="1">
      <alignment horizontal="center"/>
    </xf>
    <xf numFmtId="0" fontId="0" fillId="41" borderId="28" xfId="0" applyFill="1" applyBorder="1" applyAlignment="1">
      <alignment horizontal="center"/>
    </xf>
    <xf numFmtId="0" fontId="4" fillId="41" borderId="28" xfId="0" applyFont="1" applyFill="1" applyBorder="1" applyAlignment="1">
      <alignment/>
    </xf>
    <xf numFmtId="14" fontId="0" fillId="41" borderId="28" xfId="0" applyNumberFormat="1" applyFill="1" applyBorder="1" applyAlignment="1">
      <alignment horizontal="center"/>
    </xf>
    <xf numFmtId="0" fontId="2" fillId="41" borderId="28" xfId="0" applyFont="1" applyFill="1" applyBorder="1" applyAlignment="1">
      <alignment horizontal="center"/>
    </xf>
    <xf numFmtId="0" fontId="7" fillId="0" borderId="39" xfId="0" applyFont="1" applyBorder="1" applyAlignment="1">
      <alignment/>
    </xf>
    <xf numFmtId="0" fontId="7" fillId="0" borderId="34" xfId="0" applyFont="1" applyBorder="1" applyAlignment="1">
      <alignment/>
    </xf>
    <xf numFmtId="0" fontId="4" fillId="0" borderId="19" xfId="0" applyFont="1" applyFill="1" applyBorder="1" applyAlignment="1" applyProtection="1">
      <alignment horizontal="right" vertical="center"/>
      <protection/>
    </xf>
    <xf numFmtId="0" fontId="4" fillId="0" borderId="19" xfId="0" applyFont="1" applyFill="1" applyBorder="1" applyAlignment="1" applyProtection="1">
      <alignment vertical="center"/>
      <protection/>
    </xf>
    <xf numFmtId="176" fontId="7" fillId="41" borderId="38" xfId="121" applyNumberFormat="1" applyFont="1" applyFill="1" applyBorder="1" applyAlignment="1" applyProtection="1">
      <alignment horizontal="center" vertical="center"/>
      <protection/>
    </xf>
    <xf numFmtId="176" fontId="7" fillId="19" borderId="38" xfId="0" applyNumberFormat="1" applyFont="1" applyFill="1" applyBorder="1" applyAlignment="1" applyProtection="1">
      <alignment horizontal="center"/>
      <protection locked="0"/>
    </xf>
    <xf numFmtId="0" fontId="8" fillId="0" borderId="20" xfId="0" applyFont="1" applyBorder="1" applyAlignment="1">
      <alignment horizontal="right" vertical="center"/>
    </xf>
    <xf numFmtId="0" fontId="16" fillId="0" borderId="19" xfId="0" applyFont="1" applyBorder="1" applyAlignment="1" applyProtection="1">
      <alignment vertical="center"/>
      <protection/>
    </xf>
    <xf numFmtId="0" fontId="21" fillId="0" borderId="19" xfId="0" applyFont="1" applyBorder="1" applyAlignment="1" applyProtection="1">
      <alignment horizontal="righ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19" xfId="0" applyFont="1" applyBorder="1" applyAlignment="1" applyProtection="1">
      <alignment horizontal="center" vertical="center"/>
      <protection/>
    </xf>
    <xf numFmtId="0" fontId="4" fillId="48" borderId="44" xfId="0" applyFont="1" applyFill="1" applyBorder="1" applyAlignment="1" applyProtection="1">
      <alignment horizontal="center" vertical="center"/>
      <protection locked="0"/>
    </xf>
    <xf numFmtId="170" fontId="7" fillId="48" borderId="61" xfId="0" applyNumberFormat="1" applyFont="1" applyFill="1" applyBorder="1" applyAlignment="1" applyProtection="1">
      <alignment horizontal="center" vertical="center"/>
      <protection locked="0"/>
    </xf>
    <xf numFmtId="0" fontId="0" fillId="41" borderId="24" xfId="0" applyFill="1" applyBorder="1" applyAlignment="1">
      <alignment/>
    </xf>
    <xf numFmtId="0" fontId="0" fillId="41" borderId="19" xfId="0" applyFill="1" applyBorder="1" applyAlignment="1">
      <alignment/>
    </xf>
    <xf numFmtId="0" fontId="0" fillId="41" borderId="20" xfId="0" applyFill="1" applyBorder="1" applyAlignment="1">
      <alignment/>
    </xf>
    <xf numFmtId="0" fontId="0" fillId="41" borderId="25" xfId="0" applyFill="1" applyBorder="1" applyAlignment="1">
      <alignment/>
    </xf>
    <xf numFmtId="0" fontId="0" fillId="41" borderId="21" xfId="0" applyFill="1" applyBorder="1" applyAlignment="1">
      <alignment/>
    </xf>
    <xf numFmtId="0" fontId="0" fillId="41" borderId="26" xfId="0" applyFill="1" applyBorder="1" applyAlignment="1">
      <alignment/>
    </xf>
    <xf numFmtId="0" fontId="0" fillId="41" borderId="0" xfId="0" applyFill="1" applyAlignment="1">
      <alignment horizontal="right"/>
    </xf>
    <xf numFmtId="0" fontId="13" fillId="41" borderId="0" xfId="0" applyFont="1" applyFill="1" applyAlignment="1">
      <alignment/>
    </xf>
    <xf numFmtId="0" fontId="8" fillId="41" borderId="0" xfId="0" applyFont="1" applyFill="1" applyAlignment="1">
      <alignment/>
    </xf>
    <xf numFmtId="9" fontId="7" fillId="41" borderId="0" xfId="0" applyNumberFormat="1" applyFont="1" applyFill="1" applyAlignment="1">
      <alignment/>
    </xf>
    <xf numFmtId="0" fontId="0" fillId="41" borderId="27" xfId="0" applyFill="1" applyBorder="1" applyAlignment="1">
      <alignment/>
    </xf>
    <xf numFmtId="0" fontId="0" fillId="41" borderId="33" xfId="0" applyFill="1" applyBorder="1" applyAlignment="1">
      <alignment/>
    </xf>
    <xf numFmtId="0" fontId="0" fillId="41" borderId="28" xfId="0" applyFill="1" applyBorder="1" applyAlignment="1">
      <alignment/>
    </xf>
    <xf numFmtId="0" fontId="7" fillId="41" borderId="0" xfId="0" applyFont="1" applyFill="1" applyAlignment="1">
      <alignment horizontal="right"/>
    </xf>
    <xf numFmtId="0" fontId="25" fillId="41" borderId="0" xfId="0" applyFont="1" applyFill="1" applyAlignment="1">
      <alignment/>
    </xf>
    <xf numFmtId="0" fontId="26" fillId="41" borderId="0" xfId="0" applyFont="1" applyFill="1" applyAlignment="1">
      <alignment horizontal="right"/>
    </xf>
    <xf numFmtId="0" fontId="25" fillId="41" borderId="0" xfId="0" applyFont="1" applyFill="1" applyAlignment="1">
      <alignment horizontal="center"/>
    </xf>
    <xf numFmtId="0" fontId="2" fillId="41" borderId="0" xfId="0" applyFont="1" applyFill="1" applyAlignment="1">
      <alignment horizontal="right"/>
    </xf>
    <xf numFmtId="0" fontId="2" fillId="41" borderId="0" xfId="0" applyFont="1" applyFill="1" applyAlignment="1">
      <alignment horizontal="left"/>
    </xf>
    <xf numFmtId="0" fontId="4" fillId="41" borderId="0" xfId="0" applyFont="1" applyFill="1" applyAlignment="1">
      <alignment horizontal="right"/>
    </xf>
    <xf numFmtId="0" fontId="0" fillId="41" borderId="47" xfId="0" applyFill="1" applyBorder="1" applyAlignment="1">
      <alignment/>
    </xf>
    <xf numFmtId="0" fontId="8" fillId="41" borderId="25" xfId="0" applyFont="1" applyFill="1" applyBorder="1" applyAlignment="1">
      <alignment/>
    </xf>
    <xf numFmtId="0" fontId="7" fillId="41" borderId="25" xfId="0" applyFont="1" applyFill="1" applyBorder="1" applyAlignment="1">
      <alignment/>
    </xf>
    <xf numFmtId="0" fontId="13" fillId="41" borderId="0" xfId="0" applyFont="1" applyFill="1" applyBorder="1" applyAlignment="1">
      <alignment/>
    </xf>
    <xf numFmtId="0" fontId="7" fillId="41" borderId="22" xfId="0" applyFont="1" applyFill="1" applyBorder="1" applyAlignment="1">
      <alignment/>
    </xf>
    <xf numFmtId="0" fontId="17" fillId="41" borderId="0" xfId="0" applyFont="1" applyFill="1" applyAlignment="1">
      <alignment/>
    </xf>
    <xf numFmtId="0" fontId="0" fillId="48" borderId="22" xfId="0" applyFill="1" applyBorder="1" applyAlignment="1" applyProtection="1">
      <alignment horizontal="center"/>
      <protection locked="0"/>
    </xf>
    <xf numFmtId="0" fontId="0" fillId="48" borderId="22" xfId="0" applyFill="1" applyBorder="1" applyAlignment="1" applyProtection="1">
      <alignment/>
      <protection locked="0"/>
    </xf>
    <xf numFmtId="9" fontId="0" fillId="41" borderId="22" xfId="121" applyFont="1" applyFill="1" applyBorder="1" applyAlignment="1">
      <alignment horizontal="center"/>
    </xf>
    <xf numFmtId="177" fontId="0" fillId="41" borderId="22" xfId="0" applyNumberFormat="1" applyFill="1" applyBorder="1" applyAlignment="1">
      <alignment/>
    </xf>
    <xf numFmtId="177" fontId="0" fillId="41" borderId="62" xfId="0" applyNumberFormat="1" applyFill="1" applyBorder="1" applyAlignment="1">
      <alignment/>
    </xf>
    <xf numFmtId="176" fontId="0" fillId="41" borderId="63" xfId="0" applyNumberFormat="1" applyFill="1" applyBorder="1" applyAlignment="1">
      <alignment/>
    </xf>
    <xf numFmtId="177" fontId="0" fillId="41" borderId="64" xfId="0" applyNumberFormat="1" applyFill="1" applyBorder="1" applyAlignment="1">
      <alignment/>
    </xf>
    <xf numFmtId="177" fontId="0" fillId="41" borderId="65" xfId="0" applyNumberFormat="1" applyFill="1" applyBorder="1" applyAlignment="1">
      <alignment/>
    </xf>
    <xf numFmtId="0" fontId="7" fillId="0" borderId="0" xfId="0" applyFont="1" applyAlignment="1">
      <alignment wrapText="1"/>
    </xf>
    <xf numFmtId="0" fontId="0" fillId="0" borderId="0" xfId="0" applyAlignment="1">
      <alignment wrapText="1"/>
    </xf>
    <xf numFmtId="9" fontId="27" fillId="41" borderId="0" xfId="0" applyNumberFormat="1" applyFont="1" applyFill="1" applyAlignment="1">
      <alignment/>
    </xf>
    <xf numFmtId="0" fontId="43" fillId="41" borderId="0" xfId="0" applyFont="1" applyFill="1" applyAlignment="1">
      <alignment/>
    </xf>
    <xf numFmtId="0" fontId="15" fillId="41" borderId="0" xfId="0" applyFont="1" applyFill="1" applyAlignment="1">
      <alignment horizontal="right"/>
    </xf>
    <xf numFmtId="0" fontId="4" fillId="0" borderId="19" xfId="0" applyFont="1" applyBorder="1" applyAlignment="1">
      <alignment horizontal="right" vertical="center" wrapText="1"/>
    </xf>
    <xf numFmtId="0" fontId="2" fillId="0" borderId="0" xfId="0" applyFont="1" applyAlignment="1">
      <alignment horizontal="left" wrapText="1"/>
    </xf>
    <xf numFmtId="0" fontId="16" fillId="0" borderId="0" xfId="0" applyFont="1" applyAlignment="1">
      <alignment/>
    </xf>
    <xf numFmtId="0" fontId="44" fillId="0" borderId="0" xfId="0" applyFont="1" applyAlignment="1" applyProtection="1">
      <alignment horizontal="right"/>
      <protection/>
    </xf>
    <xf numFmtId="0" fontId="8" fillId="0" borderId="34" xfId="0" applyFont="1" applyBorder="1" applyAlignment="1" applyProtection="1">
      <alignment vertical="center" wrapText="1"/>
      <protection/>
    </xf>
    <xf numFmtId="0" fontId="45" fillId="0" borderId="25"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66" xfId="0" applyFont="1" applyBorder="1" applyAlignment="1" applyProtection="1">
      <alignment vertical="center"/>
      <protection/>
    </xf>
    <xf numFmtId="0" fontId="4" fillId="0" borderId="0" xfId="0" applyFont="1" applyAlignment="1" applyProtection="1">
      <alignment vertical="center"/>
      <protection/>
    </xf>
    <xf numFmtId="0" fontId="4" fillId="0" borderId="29" xfId="0" applyFont="1" applyBorder="1" applyAlignment="1" applyProtection="1">
      <alignment horizontal="left" vertical="center"/>
      <protection/>
    </xf>
    <xf numFmtId="0" fontId="4" fillId="0" borderId="40" xfId="0" applyFont="1" applyBorder="1" applyAlignment="1" applyProtection="1">
      <alignment vertical="center"/>
      <protection/>
    </xf>
    <xf numFmtId="0" fontId="7" fillId="0" borderId="0" xfId="0" applyFont="1" applyAlignment="1">
      <alignment horizontal="right" wrapText="1"/>
    </xf>
    <xf numFmtId="0" fontId="2" fillId="41" borderId="67" xfId="0" applyFont="1" applyFill="1" applyBorder="1" applyAlignment="1">
      <alignment horizontal="left" wrapText="1"/>
    </xf>
    <xf numFmtId="0" fontId="2" fillId="41" borderId="68" xfId="0" applyFont="1" applyFill="1" applyBorder="1" applyAlignment="1">
      <alignment horizontal="left" wrapText="1"/>
    </xf>
    <xf numFmtId="0" fontId="3" fillId="41" borderId="68" xfId="0" applyFont="1" applyFill="1" applyBorder="1" applyAlignment="1">
      <alignment wrapText="1"/>
    </xf>
    <xf numFmtId="0" fontId="7" fillId="41" borderId="68" xfId="0" applyFont="1" applyFill="1" applyBorder="1" applyAlignment="1">
      <alignment wrapText="1"/>
    </xf>
    <xf numFmtId="0" fontId="0" fillId="41" borderId="68" xfId="0" applyFill="1" applyBorder="1" applyAlignment="1">
      <alignment wrapText="1"/>
    </xf>
    <xf numFmtId="0" fontId="7" fillId="41" borderId="68" xfId="0" applyFont="1" applyFill="1" applyBorder="1" applyAlignment="1">
      <alignment horizontal="center" wrapText="1"/>
    </xf>
    <xf numFmtId="0" fontId="2" fillId="41" borderId="28" xfId="0" applyFont="1" applyFill="1" applyBorder="1" applyAlignment="1">
      <alignment horizontal="left" wrapText="1"/>
    </xf>
    <xf numFmtId="0" fontId="14" fillId="19" borderId="28" xfId="0" applyFont="1" applyFill="1" applyBorder="1" applyAlignment="1">
      <alignment horizontal="left" wrapText="1"/>
    </xf>
    <xf numFmtId="0" fontId="14" fillId="0" borderId="22" xfId="0" applyFont="1" applyBorder="1" applyAlignment="1">
      <alignment horizontal="left" wrapText="1"/>
    </xf>
    <xf numFmtId="0" fontId="14" fillId="54" borderId="28" xfId="0" applyFont="1" applyFill="1" applyBorder="1" applyAlignment="1">
      <alignment horizontal="left" wrapText="1"/>
    </xf>
    <xf numFmtId="0" fontId="15" fillId="41" borderId="0" xfId="0" applyFont="1" applyFill="1" applyAlignment="1">
      <alignment/>
    </xf>
    <xf numFmtId="0" fontId="7" fillId="0" borderId="0" xfId="0" applyFont="1" applyAlignment="1" applyProtection="1">
      <alignment wrapText="1"/>
      <protection locked="0"/>
    </xf>
    <xf numFmtId="0" fontId="45" fillId="41" borderId="0" xfId="0" applyFont="1" applyFill="1" applyAlignment="1">
      <alignment/>
    </xf>
    <xf numFmtId="0" fontId="4" fillId="0" borderId="0" xfId="0" applyFont="1" applyAlignment="1">
      <alignment horizontal="left"/>
    </xf>
    <xf numFmtId="0" fontId="45" fillId="0" borderId="0" xfId="0" applyFont="1" applyAlignment="1">
      <alignment horizontal="left"/>
    </xf>
    <xf numFmtId="0" fontId="7" fillId="19" borderId="67" xfId="0" applyFont="1" applyFill="1" applyBorder="1" applyAlignment="1" applyProtection="1">
      <alignment wrapText="1"/>
      <protection locked="0"/>
    </xf>
    <xf numFmtId="0" fontId="7" fillId="54" borderId="67" xfId="0" applyFont="1" applyFill="1" applyBorder="1" applyAlignment="1" applyProtection="1">
      <alignment horizontal="right" wrapText="1"/>
      <protection locked="0"/>
    </xf>
    <xf numFmtId="0" fontId="7" fillId="19" borderId="68" xfId="0" applyFont="1" applyFill="1" applyBorder="1" applyAlignment="1" applyProtection="1">
      <alignment wrapText="1"/>
      <protection locked="0"/>
    </xf>
    <xf numFmtId="0" fontId="7" fillId="54" borderId="68" xfId="0" applyFont="1" applyFill="1" applyBorder="1" applyAlignment="1" applyProtection="1">
      <alignment wrapText="1"/>
      <protection locked="0"/>
    </xf>
    <xf numFmtId="0" fontId="0" fillId="54" borderId="68" xfId="0" applyFill="1" applyBorder="1" applyAlignment="1" applyProtection="1">
      <alignment wrapText="1"/>
      <protection locked="0"/>
    </xf>
    <xf numFmtId="0" fontId="7" fillId="19" borderId="68" xfId="0" applyFont="1" applyFill="1" applyBorder="1" applyAlignment="1" applyProtection="1" quotePrefix="1">
      <alignment wrapText="1"/>
      <protection locked="0"/>
    </xf>
    <xf numFmtId="0" fontId="3" fillId="19" borderId="68" xfId="0" applyFont="1" applyFill="1" applyBorder="1" applyAlignment="1" applyProtection="1">
      <alignment wrapText="1"/>
      <protection locked="0"/>
    </xf>
    <xf numFmtId="0" fontId="2" fillId="19" borderId="68" xfId="0" applyFont="1" applyFill="1" applyBorder="1" applyAlignment="1" applyProtection="1">
      <alignment wrapText="1"/>
      <protection locked="0"/>
    </xf>
    <xf numFmtId="49" fontId="7" fillId="0" borderId="0" xfId="0" applyNumberFormat="1" applyFont="1" applyAlignment="1">
      <alignment wrapText="1"/>
    </xf>
    <xf numFmtId="49" fontId="7" fillId="41" borderId="68" xfId="0" applyNumberFormat="1" applyFont="1" applyFill="1" applyBorder="1" applyAlignment="1">
      <alignment wrapText="1"/>
    </xf>
    <xf numFmtId="0" fontId="14" fillId="41" borderId="22" xfId="0" applyFont="1" applyFill="1" applyBorder="1" applyAlignment="1">
      <alignment horizontal="left" wrapText="1"/>
    </xf>
    <xf numFmtId="0" fontId="7" fillId="41" borderId="69" xfId="0" applyFont="1" applyFill="1" applyBorder="1" applyAlignment="1" applyProtection="1">
      <alignment horizontal="right" wrapText="1"/>
      <protection locked="0"/>
    </xf>
    <xf numFmtId="0" fontId="7" fillId="41" borderId="35" xfId="0" applyFont="1" applyFill="1" applyBorder="1" applyAlignment="1" applyProtection="1">
      <alignment wrapText="1"/>
      <protection locked="0"/>
    </xf>
    <xf numFmtId="0" fontId="7" fillId="41" borderId="68" xfId="0" applyFont="1" applyFill="1" applyBorder="1" applyAlignment="1" applyProtection="1">
      <alignment wrapText="1"/>
      <protection locked="0"/>
    </xf>
    <xf numFmtId="0" fontId="7" fillId="41" borderId="35" xfId="0" applyFont="1" applyFill="1" applyBorder="1" applyAlignment="1" applyProtection="1" quotePrefix="1">
      <alignment wrapText="1"/>
      <protection locked="0"/>
    </xf>
    <xf numFmtId="0" fontId="7" fillId="41" borderId="35" xfId="0" applyFont="1" applyFill="1" applyBorder="1" applyAlignment="1" applyProtection="1">
      <alignment horizontal="left" wrapText="1"/>
      <protection locked="0"/>
    </xf>
    <xf numFmtId="0" fontId="7" fillId="54" borderId="68" xfId="0" applyFont="1" applyFill="1" applyBorder="1" applyAlignment="1" applyProtection="1" quotePrefix="1">
      <alignment wrapText="1"/>
      <protection locked="0"/>
    </xf>
    <xf numFmtId="0" fontId="4" fillId="41" borderId="25" xfId="0" applyFont="1" applyFill="1" applyBorder="1" applyAlignment="1">
      <alignment/>
    </xf>
    <xf numFmtId="0" fontId="7" fillId="0" borderId="34" xfId="0" applyFont="1" applyBorder="1" applyAlignment="1" applyProtection="1">
      <alignment vertical="center" wrapText="1"/>
      <protection/>
    </xf>
    <xf numFmtId="0" fontId="7" fillId="0" borderId="40" xfId="0" applyFont="1" applyBorder="1" applyAlignment="1">
      <alignment vertical="center" wrapText="1"/>
    </xf>
    <xf numFmtId="176" fontId="0" fillId="41" borderId="47" xfId="0" applyNumberFormat="1" applyFill="1" applyBorder="1" applyAlignment="1">
      <alignment/>
    </xf>
    <xf numFmtId="0" fontId="7" fillId="48" borderId="0" xfId="0" applyFont="1" applyFill="1" applyAlignment="1" applyProtection="1" quotePrefix="1">
      <alignment horizontal="left" wrapText="1"/>
      <protection/>
    </xf>
    <xf numFmtId="0" fontId="7" fillId="48" borderId="0" xfId="0" applyFont="1" applyFill="1" applyAlignment="1" applyProtection="1">
      <alignment horizontal="left" wrapText="1"/>
      <protection/>
    </xf>
    <xf numFmtId="0" fontId="0" fillId="41" borderId="33" xfId="0" applyFill="1" applyBorder="1" applyAlignment="1" quotePrefix="1">
      <alignment horizontal="center"/>
    </xf>
    <xf numFmtId="0" fontId="7" fillId="0" borderId="0" xfId="0" applyFont="1" applyAlignment="1" applyProtection="1">
      <alignment horizontal="left"/>
      <protection locked="0"/>
    </xf>
    <xf numFmtId="174" fontId="7" fillId="19" borderId="38" xfId="0" applyNumberFormat="1" applyFont="1" applyFill="1" applyBorder="1" applyAlignment="1" applyProtection="1">
      <alignment vertical="center"/>
      <protection locked="0"/>
    </xf>
    <xf numFmtId="170" fontId="7" fillId="19" borderId="38" xfId="0" applyNumberFormat="1" applyFont="1" applyFill="1" applyBorder="1" applyAlignment="1" applyProtection="1">
      <alignment vertical="center"/>
      <protection locked="0"/>
    </xf>
    <xf numFmtId="0" fontId="7" fillId="0" borderId="26" xfId="0" applyFont="1" applyBorder="1" applyAlignment="1">
      <alignment vertical="center" wrapText="1"/>
    </xf>
    <xf numFmtId="176" fontId="7" fillId="41" borderId="56" xfId="121" applyNumberFormat="1" applyFont="1" applyFill="1" applyBorder="1" applyAlignment="1" applyProtection="1">
      <alignment horizontal="center" vertical="center"/>
      <protection/>
    </xf>
    <xf numFmtId="0" fontId="7" fillId="0" borderId="22" xfId="0" applyFont="1" applyBorder="1" applyAlignment="1">
      <alignment horizontal="center" vertical="center"/>
    </xf>
    <xf numFmtId="9" fontId="7" fillId="0" borderId="23" xfId="121" applyFont="1" applyBorder="1" applyAlignment="1">
      <alignment horizontal="center" vertical="center"/>
    </xf>
    <xf numFmtId="176" fontId="7" fillId="19" borderId="41" xfId="0" applyNumberFormat="1" applyFont="1" applyFill="1" applyBorder="1" applyAlignment="1" applyProtection="1">
      <alignment horizontal="center" vertical="center"/>
      <protection locked="0"/>
    </xf>
    <xf numFmtId="9" fontId="7" fillId="0" borderId="43" xfId="0" applyNumberFormat="1" applyFont="1" applyBorder="1" applyAlignment="1">
      <alignment horizontal="center" vertical="center"/>
    </xf>
    <xf numFmtId="0" fontId="7" fillId="0" borderId="59" xfId="0" applyFont="1" applyBorder="1" applyAlignment="1" applyProtection="1">
      <alignment vertical="center"/>
      <protection/>
    </xf>
    <xf numFmtId="3" fontId="7" fillId="0" borderId="59" xfId="0" applyNumberFormat="1" applyFont="1" applyBorder="1" applyAlignment="1" applyProtection="1">
      <alignment horizontal="center" vertical="center"/>
      <protection/>
    </xf>
    <xf numFmtId="170" fontId="7" fillId="0" borderId="59" xfId="0" applyNumberFormat="1" applyFont="1" applyBorder="1" applyAlignment="1" applyProtection="1">
      <alignment vertical="center"/>
      <protection/>
    </xf>
    <xf numFmtId="0" fontId="7" fillId="0" borderId="59" xfId="0" applyFont="1" applyBorder="1" applyAlignment="1">
      <alignment/>
    </xf>
    <xf numFmtId="3" fontId="7" fillId="0" borderId="59" xfId="0" applyNumberFormat="1" applyFont="1" applyBorder="1" applyAlignment="1">
      <alignment horizontal="center" vertical="center"/>
    </xf>
    <xf numFmtId="0" fontId="8" fillId="0" borderId="0" xfId="0" applyFont="1" applyBorder="1" applyAlignment="1" applyProtection="1">
      <alignment horizontal="center" vertical="center"/>
      <protection/>
    </xf>
    <xf numFmtId="2" fontId="7" fillId="0" borderId="59" xfId="0" applyNumberFormat="1" applyFont="1" applyBorder="1" applyAlignment="1">
      <alignment horizontal="center"/>
    </xf>
    <xf numFmtId="176" fontId="7" fillId="0" borderId="31" xfId="121" applyNumberFormat="1" applyFont="1" applyBorder="1" applyAlignment="1" applyProtection="1">
      <alignment vertical="center"/>
      <protection/>
    </xf>
    <xf numFmtId="4" fontId="7" fillId="0" borderId="59" xfId="0" applyNumberFormat="1" applyFont="1" applyBorder="1" applyAlignment="1">
      <alignment horizontal="center"/>
    </xf>
    <xf numFmtId="176" fontId="7" fillId="0" borderId="59" xfId="0" applyNumberFormat="1" applyFont="1" applyBorder="1" applyAlignment="1">
      <alignment horizontal="center"/>
    </xf>
    <xf numFmtId="0" fontId="7" fillId="0" borderId="42" xfId="0" applyFont="1" applyBorder="1" applyAlignment="1">
      <alignment/>
    </xf>
    <xf numFmtId="170" fontId="7" fillId="0" borderId="43" xfId="0" applyNumberFormat="1" applyFont="1" applyBorder="1" applyAlignment="1" applyProtection="1">
      <alignment vertical="center"/>
      <protection/>
    </xf>
    <xf numFmtId="0" fontId="7" fillId="0" borderId="40" xfId="0" applyFont="1" applyBorder="1" applyAlignment="1" applyProtection="1">
      <alignment vertical="center"/>
      <protection/>
    </xf>
    <xf numFmtId="0" fontId="7" fillId="41" borderId="34" xfId="0" applyFont="1" applyFill="1" applyBorder="1" applyAlignment="1" applyProtection="1">
      <alignment/>
      <protection/>
    </xf>
    <xf numFmtId="174" fontId="7" fillId="41" borderId="38" xfId="0" applyNumberFormat="1" applyFont="1" applyFill="1" applyBorder="1" applyAlignment="1" applyProtection="1">
      <alignment vertical="center"/>
      <protection locked="0"/>
    </xf>
    <xf numFmtId="170" fontId="7" fillId="41" borderId="38" xfId="0" applyNumberFormat="1" applyFont="1" applyFill="1" applyBorder="1" applyAlignment="1" applyProtection="1">
      <alignment vertical="center"/>
      <protection locked="0"/>
    </xf>
    <xf numFmtId="0" fontId="0" fillId="0" borderId="0" xfId="0" applyAlignment="1">
      <alignment horizontal="left"/>
    </xf>
    <xf numFmtId="176" fontId="7" fillId="19" borderId="38" xfId="121" applyNumberFormat="1" applyFont="1" applyFill="1" applyBorder="1" applyAlignment="1" applyProtection="1">
      <alignment vertical="center"/>
      <protection locked="0"/>
    </xf>
    <xf numFmtId="176" fontId="7" fillId="48" borderId="38" xfId="121" applyNumberFormat="1" applyFont="1" applyFill="1" applyBorder="1" applyAlignment="1" applyProtection="1">
      <alignment vertical="center"/>
      <protection locked="0"/>
    </xf>
    <xf numFmtId="0" fontId="2" fillId="0" borderId="0" xfId="0" applyFont="1" applyAlignment="1">
      <alignment horizontal="left" wrapText="1"/>
    </xf>
    <xf numFmtId="0" fontId="0" fillId="41" borderId="22" xfId="0" applyFill="1" applyBorder="1" applyAlignment="1">
      <alignment horizontal="left"/>
    </xf>
    <xf numFmtId="0" fontId="2" fillId="41" borderId="24" xfId="0" applyFont="1" applyFill="1" applyBorder="1" applyAlignment="1">
      <alignment horizontal="center"/>
    </xf>
    <xf numFmtId="0" fontId="2" fillId="41" borderId="19" xfId="0" applyFont="1" applyFill="1" applyBorder="1" applyAlignment="1">
      <alignment horizontal="center"/>
    </xf>
    <xf numFmtId="0" fontId="2" fillId="41" borderId="20" xfId="0" applyFont="1" applyFill="1" applyBorder="1" applyAlignment="1">
      <alignment horizontal="center"/>
    </xf>
    <xf numFmtId="0" fontId="3" fillId="41" borderId="25" xfId="0" applyFont="1" applyFill="1" applyBorder="1" applyAlignment="1">
      <alignment horizontal="center"/>
    </xf>
    <xf numFmtId="0" fontId="3" fillId="41" borderId="0" xfId="0" applyFont="1" applyFill="1" applyBorder="1" applyAlignment="1">
      <alignment horizontal="center"/>
    </xf>
    <xf numFmtId="0" fontId="3" fillId="41" borderId="21" xfId="0" applyFont="1" applyFill="1" applyBorder="1" applyAlignment="1">
      <alignment horizontal="center"/>
    </xf>
    <xf numFmtId="0" fontId="22" fillId="41" borderId="26" xfId="0" applyFont="1" applyFill="1" applyBorder="1" applyAlignment="1">
      <alignment horizontal="center"/>
    </xf>
    <xf numFmtId="0" fontId="22" fillId="41" borderId="22" xfId="0" applyFont="1" applyFill="1" applyBorder="1" applyAlignment="1">
      <alignment horizontal="center"/>
    </xf>
    <xf numFmtId="0" fontId="22" fillId="41" borderId="23" xfId="0" applyFont="1" applyFill="1" applyBorder="1" applyAlignment="1">
      <alignment horizontal="center"/>
    </xf>
    <xf numFmtId="0" fontId="23" fillId="41" borderId="25" xfId="0" applyFont="1" applyFill="1" applyBorder="1" applyAlignment="1">
      <alignment horizontal="center"/>
    </xf>
    <xf numFmtId="0" fontId="23" fillId="41" borderId="21" xfId="0" applyFont="1" applyFill="1" applyBorder="1" applyAlignment="1">
      <alignment horizontal="center"/>
    </xf>
    <xf numFmtId="0" fontId="0" fillId="48" borderId="22" xfId="0" applyFill="1" applyBorder="1" applyAlignment="1" applyProtection="1">
      <alignment horizontal="left"/>
      <protection locked="0"/>
    </xf>
    <xf numFmtId="0" fontId="7" fillId="41" borderId="27" xfId="0" applyFont="1" applyFill="1" applyBorder="1" applyAlignment="1">
      <alignment horizontal="center" textRotation="90"/>
    </xf>
    <xf numFmtId="0" fontId="7" fillId="41" borderId="33" xfId="0" applyFont="1" applyFill="1" applyBorder="1" applyAlignment="1">
      <alignment horizontal="center" textRotation="90"/>
    </xf>
    <xf numFmtId="0" fontId="7" fillId="41" borderId="28" xfId="0" applyFont="1" applyFill="1" applyBorder="1" applyAlignment="1">
      <alignment horizontal="center" textRotation="90"/>
    </xf>
    <xf numFmtId="0" fontId="0" fillId="48" borderId="26" xfId="0" applyFill="1" applyBorder="1" applyAlignment="1" applyProtection="1">
      <alignment horizontal="left"/>
      <protection locked="0"/>
    </xf>
    <xf numFmtId="0" fontId="0" fillId="48" borderId="23" xfId="0" applyFill="1" applyBorder="1" applyAlignment="1" applyProtection="1">
      <alignment horizontal="left"/>
      <protection locked="0"/>
    </xf>
    <xf numFmtId="0" fontId="0" fillId="48" borderId="25" xfId="0" applyFill="1" applyBorder="1" applyAlignment="1" applyProtection="1">
      <alignment horizontal="left"/>
      <protection locked="0"/>
    </xf>
    <xf numFmtId="0" fontId="0" fillId="48" borderId="0" xfId="0" applyFill="1" applyBorder="1" applyAlignment="1" applyProtection="1">
      <alignment horizontal="left"/>
      <protection locked="0"/>
    </xf>
    <xf numFmtId="0" fontId="0" fillId="48" borderId="21" xfId="0" applyFill="1" applyBorder="1" applyAlignment="1" applyProtection="1">
      <alignment horizontal="left"/>
      <protection locked="0"/>
    </xf>
    <xf numFmtId="0" fontId="0" fillId="48" borderId="0" xfId="0" applyFill="1" applyAlignment="1" applyProtection="1">
      <alignment horizontal="left"/>
      <protection locked="0"/>
    </xf>
    <xf numFmtId="0" fontId="0" fillId="48" borderId="24" xfId="0" applyFill="1" applyBorder="1" applyAlignment="1" applyProtection="1">
      <alignment horizontal="left"/>
      <protection locked="0"/>
    </xf>
    <xf numFmtId="0" fontId="0" fillId="48" borderId="19" xfId="0" applyFill="1" applyBorder="1" applyAlignment="1" applyProtection="1">
      <alignment horizontal="left"/>
      <protection locked="0"/>
    </xf>
    <xf numFmtId="0" fontId="0" fillId="48" borderId="20" xfId="0" applyFill="1" applyBorder="1" applyAlignment="1" applyProtection="1">
      <alignment horizontal="left"/>
      <protection locked="0"/>
    </xf>
    <xf numFmtId="0" fontId="7" fillId="0" borderId="27" xfId="0" applyFont="1" applyBorder="1" applyAlignment="1">
      <alignment horizontal="center"/>
    </xf>
    <xf numFmtId="0" fontId="7" fillId="48" borderId="57" xfId="0" applyFont="1" applyFill="1" applyBorder="1" applyAlignment="1" applyProtection="1">
      <alignment horizontal="left" vertical="center"/>
      <protection locked="0"/>
    </xf>
    <xf numFmtId="0" fontId="7" fillId="48" borderId="44" xfId="0" applyFont="1" applyFill="1" applyBorder="1" applyAlignment="1" applyProtection="1">
      <alignment horizontal="left" vertical="center"/>
      <protection locked="0"/>
    </xf>
    <xf numFmtId="0" fontId="7" fillId="48" borderId="45" xfId="0" applyFont="1" applyFill="1" applyBorder="1" applyAlignment="1" applyProtection="1">
      <alignment horizontal="left" vertical="center"/>
      <protection locked="0"/>
    </xf>
    <xf numFmtId="0" fontId="7" fillId="48" borderId="34" xfId="0" applyFont="1" applyFill="1" applyBorder="1" applyAlignment="1" applyProtection="1">
      <alignment horizontal="left" vertical="center"/>
      <protection locked="0"/>
    </xf>
    <xf numFmtId="0" fontId="7" fillId="48" borderId="35" xfId="0" applyFont="1" applyFill="1" applyBorder="1" applyAlignment="1" applyProtection="1">
      <alignment horizontal="left" vertical="center"/>
      <protection locked="0"/>
    </xf>
    <xf numFmtId="0" fontId="7" fillId="48" borderId="39" xfId="0" applyFont="1" applyFill="1" applyBorder="1" applyAlignment="1" applyProtection="1">
      <alignment horizontal="left" vertical="center"/>
      <protection locked="0"/>
    </xf>
    <xf numFmtId="0" fontId="7" fillId="48" borderId="40" xfId="0" applyFont="1" applyFill="1" applyBorder="1" applyAlignment="1" applyProtection="1">
      <alignment horizontal="left" vertical="center"/>
      <protection locked="0"/>
    </xf>
    <xf numFmtId="0" fontId="7" fillId="48" borderId="42" xfId="0" applyFont="1" applyFill="1" applyBorder="1" applyAlignment="1" applyProtection="1">
      <alignment horizontal="left" vertical="center"/>
      <protection locked="0"/>
    </xf>
    <xf numFmtId="0" fontId="7" fillId="48" borderId="43" xfId="0" applyFont="1" applyFill="1" applyBorder="1" applyAlignment="1" applyProtection="1">
      <alignment horizontal="left" vertical="center"/>
      <protection locked="0"/>
    </xf>
    <xf numFmtId="170" fontId="4" fillId="0" borderId="25" xfId="0" applyNumberFormat="1" applyFont="1" applyBorder="1" applyAlignment="1">
      <alignment horizontal="center" vertical="center" wrapText="1"/>
    </xf>
    <xf numFmtId="0" fontId="4" fillId="0" borderId="19" xfId="0" applyFont="1" applyBorder="1" applyAlignment="1" applyProtection="1">
      <alignment horizontal="right" vertical="center"/>
      <protection/>
    </xf>
    <xf numFmtId="0" fontId="13" fillId="0" borderId="0" xfId="0" applyFont="1" applyAlignment="1">
      <alignment horizontal="left" vertical="center"/>
    </xf>
    <xf numFmtId="170" fontId="7" fillId="0" borderId="0" xfId="0" applyNumberFormat="1" applyFont="1" applyAlignment="1">
      <alignment horizontal="left" wrapText="1"/>
    </xf>
    <xf numFmtId="170"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center" wrapText="1"/>
    </xf>
  </cellXfs>
  <cellStyles count="131">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20% - Accent1" xfId="27"/>
    <cellStyle name="20% - Accent2" xfId="28"/>
    <cellStyle name="20% - Accent3" xfId="29"/>
    <cellStyle name="20% - Accent4" xfId="30"/>
    <cellStyle name="20% - Accent5" xfId="31"/>
    <cellStyle name="20% - Accent6" xfId="32"/>
    <cellStyle name="40 % - Akzent1" xfId="33"/>
    <cellStyle name="40 % - Akzent2" xfId="34"/>
    <cellStyle name="40 % - Akzent3" xfId="35"/>
    <cellStyle name="40 % - Akzent4" xfId="36"/>
    <cellStyle name="40 % - Akzent5" xfId="37"/>
    <cellStyle name="40 % - Akzent6" xfId="38"/>
    <cellStyle name="40 % - Accent1" xfId="39"/>
    <cellStyle name="40 % - Accent2" xfId="40"/>
    <cellStyle name="40 % - Accent3" xfId="41"/>
    <cellStyle name="40 % - Accent4" xfId="42"/>
    <cellStyle name="40 % - Accent5" xfId="43"/>
    <cellStyle name="40 % - Accent6" xfId="44"/>
    <cellStyle name="40% - Accent1" xfId="45"/>
    <cellStyle name="40% - Accent2" xfId="46"/>
    <cellStyle name="40% - Accent3" xfId="47"/>
    <cellStyle name="40% - Accent4" xfId="48"/>
    <cellStyle name="40% - Accent5" xfId="49"/>
    <cellStyle name="40% - Accent6" xfId="50"/>
    <cellStyle name="60 % - Akzent1" xfId="51"/>
    <cellStyle name="60 % - Akzent2" xfId="52"/>
    <cellStyle name="60 % - Akzent3" xfId="53"/>
    <cellStyle name="60 % - Akzent4" xfId="54"/>
    <cellStyle name="60 % - Akzent5" xfId="55"/>
    <cellStyle name="60 % - Akzent6" xfId="56"/>
    <cellStyle name="60 % - Accent1" xfId="57"/>
    <cellStyle name="60 % - Accent2" xfId="58"/>
    <cellStyle name="60 % - Accent3" xfId="59"/>
    <cellStyle name="60 % - Accent4" xfId="60"/>
    <cellStyle name="60 % - Accent5" xfId="61"/>
    <cellStyle name="60 % - Accent6"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Akzent1" xfId="75"/>
    <cellStyle name="Akzent2" xfId="76"/>
    <cellStyle name="Akzent3" xfId="77"/>
    <cellStyle name="Akzent4" xfId="78"/>
    <cellStyle name="Akzent5" xfId="79"/>
    <cellStyle name="Akzent6" xfId="80"/>
    <cellStyle name="Ausgabe" xfId="81"/>
    <cellStyle name="Avertissement" xfId="82"/>
    <cellStyle name="Bad" xfId="83"/>
    <cellStyle name="Berechnung" xfId="84"/>
    <cellStyle name="Calcul" xfId="85"/>
    <cellStyle name="Calculation" xfId="86"/>
    <cellStyle name="Cellule liée" xfId="87"/>
    <cellStyle name="Check Cell" xfId="88"/>
    <cellStyle name="Commentaire" xfId="89"/>
    <cellStyle name="Currency 2" xfId="90"/>
    <cellStyle name="Currency 3" xfId="91"/>
    <cellStyle name="Currency 4" xfId="92"/>
    <cellStyle name="Currency 5" xfId="93"/>
    <cellStyle name="Currency 6" xfId="94"/>
    <cellStyle name="Comma [0]" xfId="95"/>
    <cellStyle name="Eingabe" xfId="96"/>
    <cellStyle name="Entrée" xfId="97"/>
    <cellStyle name="Ergebnis" xfId="98"/>
    <cellStyle name="Erklärender Text" xfId="99"/>
    <cellStyle name="Explanatory Text" xfId="100"/>
    <cellStyle name="Good" xfId="101"/>
    <cellStyle name="Gut" xfId="102"/>
    <cellStyle name="Heading 1" xfId="103"/>
    <cellStyle name="Heading 2" xfId="104"/>
    <cellStyle name="Heading 3" xfId="105"/>
    <cellStyle name="Heading 4" xfId="106"/>
    <cellStyle name="Input" xfId="107"/>
    <cellStyle name="Insatisfaisant" xfId="108"/>
    <cellStyle name="Comma" xfId="109"/>
    <cellStyle name="Linked Cell" xfId="110"/>
    <cellStyle name="Neutral" xfId="111"/>
    <cellStyle name="Neutre" xfId="112"/>
    <cellStyle name="Normal 2" xfId="113"/>
    <cellStyle name="Normal 3" xfId="114"/>
    <cellStyle name="Normal 4" xfId="115"/>
    <cellStyle name="Normal 5" xfId="116"/>
    <cellStyle name="Normal 6" xfId="117"/>
    <cellStyle name="Note" xfId="118"/>
    <cellStyle name="Notiz" xfId="119"/>
    <cellStyle name="Output" xfId="120"/>
    <cellStyle name="Percent" xfId="121"/>
    <cellStyle name="Satisfaisant" xfId="122"/>
    <cellStyle name="Schlecht" xfId="123"/>
    <cellStyle name="Sortie" xfId="124"/>
    <cellStyle name="Texte explicatif" xfId="125"/>
    <cellStyle name="Title" xfId="126"/>
    <cellStyle name="Titre" xfId="127"/>
    <cellStyle name="Titre 1" xfId="128"/>
    <cellStyle name="Titre 2" xfId="129"/>
    <cellStyle name="Titre 3" xfId="130"/>
    <cellStyle name="Titre 4" xfId="131"/>
    <cellStyle name="Total" xfId="132"/>
    <cellStyle name="Überschrift" xfId="133"/>
    <cellStyle name="Überschrift 1" xfId="134"/>
    <cellStyle name="Überschrift 2" xfId="135"/>
    <cellStyle name="Überschrift 3" xfId="136"/>
    <cellStyle name="Überschrift 4" xfId="137"/>
    <cellStyle name="Vérification" xfId="138"/>
    <cellStyle name="Verknüpfte Zelle" xfId="139"/>
    <cellStyle name="Currency" xfId="140"/>
    <cellStyle name="Currency [0]" xfId="141"/>
    <cellStyle name="Warnender Text" xfId="142"/>
    <cellStyle name="Warning Text" xfId="143"/>
    <cellStyle name="Zelle überprüfen" xfId="144"/>
  </cellStyles>
  <dxfs count="3">
    <dxf>
      <font>
        <b/>
        <i val="0"/>
        <color indexed="10"/>
      </font>
      <fill>
        <patternFill>
          <bgColor indexed="13"/>
        </patternFill>
      </fill>
    </dxf>
    <dxf>
      <font>
        <color indexed="9"/>
      </font>
      <fill>
        <patternFill>
          <bgColor indexed="9"/>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1925"/>
          <c:w val="0.949"/>
          <c:h val="0.86225"/>
        </c:manualLayout>
      </c:layout>
      <c:barChart>
        <c:barDir val="col"/>
        <c:grouping val="stacked"/>
        <c:varyColors val="0"/>
        <c:ser>
          <c:idx val="6"/>
          <c:order val="0"/>
          <c:tx>
            <c:strRef>
              <c:f>'Daten für Grafik'!$C$5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Grafik'!$D$5:$M$5</c:f>
              <c:numCache>
                <c:ptCount val="10"/>
                <c:pt idx="3">
                  <c:v>0</c:v>
                </c:pt>
                <c:pt idx="7">
                  <c:v>0</c:v>
                </c:pt>
              </c:numCache>
            </c:numRef>
          </c:val>
        </c:ser>
        <c:ser>
          <c:idx val="7"/>
          <c:order val="1"/>
          <c:tx>
            <c:strRef>
              <c:f>'Daten für Grafik'!$C$6</c:f>
              <c:strCache>
                <c:ptCount val="1"/>
                <c:pt idx="0">
                  <c:v>Qh,li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Grafik'!$D$6:$M$6</c:f>
              <c:numCache>
                <c:ptCount val="10"/>
                <c:pt idx="0">
                  <c:v>0</c:v>
                </c:pt>
              </c:numCache>
            </c:numRef>
          </c:val>
        </c:ser>
        <c:ser>
          <c:idx val="8"/>
          <c:order val="2"/>
          <c:tx>
            <c:strRef>
              <c:f>'Daten für Grafik'!$C$7</c:f>
              <c:strCache>
                <c:ptCount val="1"/>
                <c:pt idx="0">
                  <c:v>Qww</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Grafik'!$D$7:$M$7</c:f>
              <c:numCache>
                <c:ptCount val="10"/>
                <c:pt idx="0">
                  <c:v>0</c:v>
                </c:pt>
              </c:numCache>
            </c:numRef>
          </c:val>
        </c:ser>
        <c:ser>
          <c:idx val="9"/>
          <c:order val="3"/>
          <c:tx>
            <c:strRef>
              <c:f>'Daten für Grafik'!$C$8</c:f>
              <c:strCache>
                <c:ptCount val="1"/>
                <c:pt idx="0">
                  <c:v>Höchstanteil</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Grafik'!$D$8:$M$8</c:f>
              <c:numCache>
                <c:ptCount val="10"/>
                <c:pt idx="2">
                  <c:v>0</c:v>
                </c:pt>
              </c:numCache>
            </c:numRef>
          </c:val>
        </c:ser>
        <c:ser>
          <c:idx val="10"/>
          <c:order val="4"/>
          <c:tx>
            <c:strRef>
              <c:f>'Daten für Grafik'!$C$9</c:f>
              <c:strCache>
                <c:ptCount val="1"/>
                <c:pt idx="0">
                  <c:v>20%</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Grafik'!$D$9:$M$9</c:f>
              <c:numCache>
                <c:ptCount val="10"/>
                <c:pt idx="3">
                  <c:v>0</c:v>
                </c:pt>
              </c:numCache>
            </c:numRef>
          </c:val>
        </c:ser>
        <c:ser>
          <c:idx val="11"/>
          <c:order val="5"/>
          <c:tx>
            <c:strRef>
              <c:f>'Daten für Grafik'!$C$10</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Grafik'!$D$10:$M$10</c:f>
              <c:numCache>
                <c:ptCount val="10"/>
              </c:numCache>
            </c:numRef>
          </c:val>
        </c:ser>
        <c:ser>
          <c:idx val="0"/>
          <c:order val="6"/>
          <c:tx>
            <c:strRef>
              <c:f>'Daten für Grafik'!$C$11</c:f>
              <c:strCache>
                <c:ptCount val="1"/>
                <c:pt idx="0">
                  <c:v>Qh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Grafik'!$D$11:$M$11</c:f>
              <c:numCache>
                <c:ptCount val="10"/>
                <c:pt idx="9">
                  <c:v>0</c:v>
                </c:pt>
              </c:numCache>
            </c:numRef>
          </c:val>
        </c:ser>
        <c:ser>
          <c:idx val="1"/>
          <c:order val="7"/>
          <c:tx>
            <c:strRef>
              <c:f>'Daten für Grafik'!$C$12</c:f>
              <c:strCache>
                <c:ptCount val="1"/>
                <c:pt idx="0">
                  <c:v>Qww</c:v>
                </c:pt>
              </c:strCache>
            </c:strRef>
          </c:tx>
          <c:spPr>
            <a:solidFill>
              <a:srgbClr val="008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Grafik'!$D$12:$M$12</c:f>
              <c:numCache>
                <c:ptCount val="10"/>
                <c:pt idx="9">
                  <c:v>0</c:v>
                </c:pt>
              </c:numCache>
            </c:numRef>
          </c:val>
        </c:ser>
        <c:ser>
          <c:idx val="2"/>
          <c:order val="8"/>
          <c:tx>
            <c:strRef>
              <c:f>'Daten für Grafik'!$C$13</c:f>
              <c:strCache>
                <c:ptCount val="1"/>
                <c:pt idx="0">
                  <c:v>mech. LA</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Grafik'!$D$13:$M$13</c:f>
              <c:numCache>
                <c:ptCount val="10"/>
                <c:pt idx="9">
                  <c:v>0</c:v>
                </c:pt>
              </c:numCache>
            </c:numRef>
          </c:val>
        </c:ser>
        <c:ser>
          <c:idx val="3"/>
          <c:order val="9"/>
          <c:tx>
            <c:strRef>
              <c:f>'Daten für Grafik'!$C$14</c:f>
              <c:strCache>
                <c:ptCount val="1"/>
                <c:pt idx="0">
                  <c:v>Deckung</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Grafik'!$D$14:$M$14</c:f>
              <c:numCache>
                <c:ptCount val="10"/>
                <c:pt idx="6">
                  <c:v>0</c:v>
                </c:pt>
              </c:numCache>
            </c:numRef>
          </c:val>
        </c:ser>
        <c:ser>
          <c:idx val="4"/>
          <c:order val="10"/>
          <c:tx>
            <c:strRef>
              <c:f>'Daten für Grafik'!$C$15</c:f>
              <c:strCache>
                <c:ptCount val="1"/>
                <c:pt idx="0">
                  <c:v>ern.Energie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Grafik'!$D$15:$M$15</c:f>
              <c:numCache>
                <c:ptCount val="10"/>
                <c:pt idx="7">
                  <c:v>0</c:v>
                </c:pt>
              </c:numCache>
            </c:numRef>
          </c:val>
        </c:ser>
        <c:overlap val="100"/>
        <c:gapWidth val="0"/>
        <c:axId val="1746793"/>
        <c:axId val="15721138"/>
      </c:barChart>
      <c:lineChart>
        <c:grouping val="standard"/>
        <c:varyColors val="0"/>
        <c:ser>
          <c:idx val="5"/>
          <c:order val="11"/>
          <c:tx>
            <c:strRef>
              <c:f>'Daten für Grafik'!$C$16</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 für Grafik'!$D$4:$M$4</c:f>
              <c:strCache>
                <c:ptCount val="10"/>
                <c:pt idx="0">
                  <c:v>zulässiger Energiebedarf</c:v>
                </c:pt>
                <c:pt idx="2">
                  <c:v>Höchstanteil nichterneuerbare Energien</c:v>
                </c:pt>
                <c:pt idx="6">
                  <c:v>Deckung mit nichterneuerbaren Energien</c:v>
                </c:pt>
                <c:pt idx="9">
                  <c:v>gewichteter Energiebedarf</c:v>
                </c:pt>
              </c:strCache>
            </c:strRef>
          </c:cat>
          <c:val>
            <c:numRef>
              <c:f>'Daten für Grafik'!$D$16:$M$16</c:f>
              <c:numCache>
                <c:ptCount val="10"/>
                <c:pt idx="0">
                  <c:v>0</c:v>
                </c:pt>
                <c:pt idx="1">
                  <c:v>0</c:v>
                </c:pt>
                <c:pt idx="2">
                  <c:v>0</c:v>
                </c:pt>
                <c:pt idx="3">
                  <c:v>0</c:v>
                </c:pt>
                <c:pt idx="6">
                  <c:v>0</c:v>
                </c:pt>
                <c:pt idx="7">
                  <c:v>0</c:v>
                </c:pt>
                <c:pt idx="8">
                  <c:v>0</c:v>
                </c:pt>
                <c:pt idx="9">
                  <c:v>0</c:v>
                </c:pt>
              </c:numCache>
            </c:numRef>
          </c:val>
          <c:smooth val="0"/>
        </c:ser>
        <c:axId val="7272515"/>
        <c:axId val="65452636"/>
      </c:lineChart>
      <c:catAx>
        <c:axId val="174679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721138"/>
        <c:crossesAt val="0"/>
        <c:auto val="0"/>
        <c:lblOffset val="100"/>
        <c:tickLblSkip val="1"/>
        <c:noMultiLvlLbl val="0"/>
      </c:catAx>
      <c:valAx>
        <c:axId val="15721138"/>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1746793"/>
        <c:crossesAt val="1"/>
        <c:crossBetween val="between"/>
        <c:dispUnits/>
        <c:majorUnit val="50"/>
      </c:valAx>
      <c:catAx>
        <c:axId val="7272515"/>
        <c:scaling>
          <c:orientation val="minMax"/>
        </c:scaling>
        <c:axPos val="b"/>
        <c:delete val="1"/>
        <c:majorTickMark val="out"/>
        <c:minorTickMark val="none"/>
        <c:tickLblPos val="nextTo"/>
        <c:crossAx val="65452636"/>
        <c:crossesAt val="0"/>
        <c:auto val="0"/>
        <c:lblOffset val="100"/>
        <c:tickLblSkip val="1"/>
        <c:noMultiLvlLbl val="0"/>
      </c:catAx>
      <c:valAx>
        <c:axId val="65452636"/>
        <c:scaling>
          <c:orientation val="minMax"/>
          <c:min val="0"/>
        </c:scaling>
        <c:axPos val="l"/>
        <c:delete val="0"/>
        <c:numFmt formatCode="General" sourceLinked="1"/>
        <c:majorTickMark val="cross"/>
        <c:minorTickMark val="none"/>
        <c:tickLblPos val="nextTo"/>
        <c:spPr>
          <a:ln w="3175">
            <a:solidFill>
              <a:srgbClr val="000000"/>
            </a:solidFill>
          </a:ln>
        </c:spPr>
        <c:crossAx val="7272515"/>
        <c:crosses val="max"/>
        <c:crossBetween val="between"/>
        <c:dispUnits/>
        <c:majorUnit val="50"/>
      </c:valAx>
      <c:spPr>
        <a:noFill/>
        <a:ln w="12700">
          <a:solidFill>
            <a:srgbClr val="808080"/>
          </a:solidFill>
        </a:ln>
      </c:spPr>
    </c:plotArea>
    <c:legend>
      <c:legendPos val="b"/>
      <c:layout>
        <c:manualLayout>
          <c:xMode val="edge"/>
          <c:yMode val="edge"/>
          <c:x val="0.07625"/>
          <c:y val="0.92825"/>
          <c:w val="0.9015"/>
          <c:h val="0.06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85725</xdr:rowOff>
    </xdr:from>
    <xdr:to>
      <xdr:col>7</xdr:col>
      <xdr:colOff>66675</xdr:colOff>
      <xdr:row>4</xdr:row>
      <xdr:rowOff>104775</xdr:rowOff>
    </xdr:to>
    <xdr:pic>
      <xdr:nvPicPr>
        <xdr:cNvPr id="1" name="Picture 16"/>
        <xdr:cNvPicPr preferRelativeResize="1">
          <a:picLocks noChangeAspect="1"/>
        </xdr:cNvPicPr>
      </xdr:nvPicPr>
      <xdr:blipFill>
        <a:blip r:embed="rId1"/>
        <a:stretch>
          <a:fillRect/>
        </a:stretch>
      </xdr:blipFill>
      <xdr:spPr>
        <a:xfrm>
          <a:off x="257175" y="247650"/>
          <a:ext cx="21050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76200</xdr:rowOff>
    </xdr:from>
    <xdr:to>
      <xdr:col>7</xdr:col>
      <xdr:colOff>76200</xdr:colOff>
      <xdr:row>43</xdr:row>
      <xdr:rowOff>76200</xdr:rowOff>
    </xdr:to>
    <xdr:graphicFrame>
      <xdr:nvGraphicFramePr>
        <xdr:cNvPr id="1" name="Chart 28"/>
        <xdr:cNvGraphicFramePr/>
      </xdr:nvGraphicFramePr>
      <xdr:xfrm>
        <a:off x="0" y="1438275"/>
        <a:ext cx="607695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72"/>
  <sheetViews>
    <sheetView zoomScale="75" zoomScaleNormal="75" zoomScalePageLayoutView="0" workbookViewId="0" topLeftCell="A1">
      <selection activeCell="E3" sqref="E3"/>
    </sheetView>
  </sheetViews>
  <sheetFormatPr defaultColWidth="11.57421875" defaultRowHeight="12.75"/>
  <cols>
    <col min="1" max="1" width="5.140625" style="331" customWidth="1"/>
    <col min="2" max="2" width="24.7109375" style="331" customWidth="1"/>
    <col min="3" max="4" width="24.7109375" style="330" customWidth="1"/>
    <col min="5" max="5" width="24.7109375" style="331" customWidth="1"/>
    <col min="6" max="6" width="25.421875" style="330" customWidth="1"/>
    <col min="7" max="16384" width="11.57421875" style="331" customWidth="1"/>
  </cols>
  <sheetData>
    <row r="2" spans="1:7" ht="19.5" customHeight="1">
      <c r="A2" s="414" t="s">
        <v>315</v>
      </c>
      <c r="B2" s="414"/>
      <c r="C2" s="358">
        <v>1</v>
      </c>
      <c r="D2" s="346" t="s">
        <v>626</v>
      </c>
      <c r="E2" s="383" t="s">
        <v>960</v>
      </c>
      <c r="G2" s="331" t="s">
        <v>316</v>
      </c>
    </row>
    <row r="3" spans="1:7" ht="19.5" customHeight="1">
      <c r="A3" s="336"/>
      <c r="B3" s="336"/>
      <c r="D3" s="346" t="s">
        <v>627</v>
      </c>
      <c r="E3" s="384" t="str">
        <f>"31.12.2022"</f>
        <v>31.12.2022</v>
      </c>
      <c r="G3" s="331" t="s">
        <v>624</v>
      </c>
    </row>
    <row r="4" spans="1:7" ht="19.5" customHeight="1">
      <c r="A4" s="347"/>
      <c r="B4" s="353" t="s">
        <v>63</v>
      </c>
      <c r="C4" s="354" t="s">
        <v>316</v>
      </c>
      <c r="D4" s="372" t="s">
        <v>317</v>
      </c>
      <c r="E4" s="356"/>
      <c r="F4" s="355" t="s">
        <v>132</v>
      </c>
      <c r="G4" s="331" t="s">
        <v>625</v>
      </c>
    </row>
    <row r="5" spans="1:5" ht="19.5" customHeight="1">
      <c r="A5" s="348"/>
      <c r="B5" s="347"/>
      <c r="C5" s="362"/>
      <c r="D5" s="373"/>
      <c r="E5" s="363"/>
    </row>
    <row r="6" spans="1:5" ht="15.75">
      <c r="A6" s="351"/>
      <c r="B6" s="349"/>
      <c r="C6" s="368"/>
      <c r="D6" s="374"/>
      <c r="E6" s="365"/>
    </row>
    <row r="7" spans="1:5" ht="12.75">
      <c r="A7" s="352">
        <v>1</v>
      </c>
      <c r="B7" s="350">
        <f>IF(F7&lt;&gt;"",F7,INDEX($C$7:$F$1003,A7,$C$2))</f>
        <v>0</v>
      </c>
      <c r="C7" s="364"/>
      <c r="D7" s="374"/>
      <c r="E7" s="365"/>
    </row>
    <row r="8" spans="1:5" ht="35.25" customHeight="1">
      <c r="A8" s="352">
        <v>2</v>
      </c>
      <c r="B8" s="350">
        <f aca="true" t="shared" si="0" ref="B8:B71">IF(F8&lt;&gt;"",F8,INDEX($C$7:$F$1003,A8,$C$2))</f>
        <v>0</v>
      </c>
      <c r="C8" s="364"/>
      <c r="D8" s="374"/>
      <c r="E8" s="365"/>
    </row>
    <row r="9" spans="1:5" ht="12.75">
      <c r="A9" s="352">
        <v>3</v>
      </c>
      <c r="B9" s="350" t="str">
        <f t="shared" si="0"/>
        <v>Projekt:</v>
      </c>
      <c r="C9" s="364" t="s">
        <v>1152</v>
      </c>
      <c r="D9" s="374" t="s">
        <v>648</v>
      </c>
      <c r="E9" s="365" t="s">
        <v>212</v>
      </c>
    </row>
    <row r="10" spans="1:5" ht="12.75" customHeight="1">
      <c r="A10" s="352">
        <v>4</v>
      </c>
      <c r="B10" s="350" t="str">
        <f t="shared" si="0"/>
        <v>Gebäudedaten</v>
      </c>
      <c r="C10" s="364" t="s">
        <v>1153</v>
      </c>
      <c r="D10" s="374" t="s">
        <v>318</v>
      </c>
      <c r="E10" s="365" t="s">
        <v>227</v>
      </c>
    </row>
    <row r="11" spans="1:5" ht="12.75">
      <c r="A11" s="352">
        <v>5</v>
      </c>
      <c r="B11" s="350" t="str">
        <f t="shared" si="0"/>
        <v>Klimastation</v>
      </c>
      <c r="C11" s="364" t="s">
        <v>489</v>
      </c>
      <c r="D11" s="374" t="s">
        <v>320</v>
      </c>
      <c r="E11" s="365" t="s">
        <v>657</v>
      </c>
    </row>
    <row r="12" spans="1:5" ht="24">
      <c r="A12" s="352">
        <v>6</v>
      </c>
      <c r="B12" s="350" t="str">
        <f t="shared" si="0"/>
        <v>Energiebezugsfläche EBF</v>
      </c>
      <c r="C12" s="364" t="s">
        <v>124</v>
      </c>
      <c r="D12" s="374" t="s">
        <v>319</v>
      </c>
      <c r="E12" s="365" t="s">
        <v>658</v>
      </c>
    </row>
    <row r="13" spans="1:5" ht="12.75">
      <c r="A13" s="352">
        <v>7</v>
      </c>
      <c r="B13" s="350" t="str">
        <f t="shared" si="0"/>
        <v>Gebäudekategorie</v>
      </c>
      <c r="C13" s="364" t="s">
        <v>1000</v>
      </c>
      <c r="D13" s="374" t="s">
        <v>217</v>
      </c>
      <c r="E13" s="365" t="s">
        <v>307</v>
      </c>
    </row>
    <row r="14" spans="1:5" ht="12.75" customHeight="1">
      <c r="A14" s="352">
        <v>8</v>
      </c>
      <c r="B14" s="350">
        <f t="shared" si="0"/>
        <v>0</v>
      </c>
      <c r="C14" s="364"/>
      <c r="D14" s="374"/>
      <c r="E14" s="365"/>
    </row>
    <row r="15" spans="1:5" ht="12.75" customHeight="1">
      <c r="A15" s="352">
        <v>9</v>
      </c>
      <c r="B15" s="350">
        <f t="shared" si="0"/>
        <v>0</v>
      </c>
      <c r="C15" s="364"/>
      <c r="D15" s="374"/>
      <c r="E15" s="365"/>
    </row>
    <row r="16" spans="1:5" ht="12.75" customHeight="1">
      <c r="A16" s="352">
        <v>10</v>
      </c>
      <c r="B16" s="350">
        <f t="shared" si="0"/>
        <v>0</v>
      </c>
      <c r="C16" s="364"/>
      <c r="D16" s="374"/>
      <c r="E16" s="365"/>
    </row>
    <row r="17" spans="1:5" ht="12.75" customHeight="1">
      <c r="A17" s="352">
        <v>11</v>
      </c>
      <c r="B17" s="350">
        <f t="shared" si="0"/>
        <v>0</v>
      </c>
      <c r="C17" s="364"/>
      <c r="D17" s="374"/>
      <c r="E17" s="365"/>
    </row>
    <row r="18" spans="1:5" ht="12.75" customHeight="1">
      <c r="A18" s="352">
        <v>12</v>
      </c>
      <c r="B18" s="350">
        <f t="shared" si="0"/>
        <v>0</v>
      </c>
      <c r="C18" s="364"/>
      <c r="D18" s="374"/>
      <c r="E18" s="365"/>
    </row>
    <row r="19" spans="1:5" ht="12.75" customHeight="1">
      <c r="A19" s="352">
        <v>13</v>
      </c>
      <c r="B19" s="350">
        <f t="shared" si="0"/>
        <v>0</v>
      </c>
      <c r="C19" s="364"/>
      <c r="D19" s="374"/>
      <c r="E19" s="365"/>
    </row>
    <row r="20" spans="1:5" ht="12.75" customHeight="1">
      <c r="A20" s="352">
        <v>14</v>
      </c>
      <c r="B20" s="350">
        <f t="shared" si="0"/>
        <v>0</v>
      </c>
      <c r="C20" s="364"/>
      <c r="D20" s="374"/>
      <c r="E20" s="365"/>
    </row>
    <row r="21" spans="1:5" ht="12.75" customHeight="1">
      <c r="A21" s="352">
        <v>15</v>
      </c>
      <c r="B21" s="350">
        <f t="shared" si="0"/>
        <v>0</v>
      </c>
      <c r="C21" s="364"/>
      <c r="D21" s="374"/>
      <c r="E21" s="365"/>
    </row>
    <row r="22" spans="1:5" ht="12.75" customHeight="1">
      <c r="A22" s="352">
        <v>16</v>
      </c>
      <c r="B22" s="350">
        <f t="shared" si="0"/>
        <v>0</v>
      </c>
      <c r="C22" s="364"/>
      <c r="D22" s="374"/>
      <c r="E22" s="365"/>
    </row>
    <row r="23" spans="1:5" ht="12.75" customHeight="1">
      <c r="A23" s="352">
        <v>17</v>
      </c>
      <c r="B23" s="350">
        <f t="shared" si="0"/>
        <v>0</v>
      </c>
      <c r="C23" s="364"/>
      <c r="D23" s="374"/>
      <c r="E23" s="365"/>
    </row>
    <row r="24" spans="1:5" ht="12.75" customHeight="1">
      <c r="A24" s="352">
        <v>18</v>
      </c>
      <c r="B24" s="350">
        <f t="shared" si="0"/>
        <v>0</v>
      </c>
      <c r="C24" s="364"/>
      <c r="D24" s="374"/>
      <c r="E24" s="365"/>
    </row>
    <row r="25" spans="1:5" ht="12.75" customHeight="1">
      <c r="A25" s="352">
        <v>19</v>
      </c>
      <c r="B25" s="350">
        <f t="shared" si="0"/>
        <v>0</v>
      </c>
      <c r="C25" s="364"/>
      <c r="D25" s="374"/>
      <c r="E25" s="365"/>
    </row>
    <row r="26" spans="1:5" ht="12.75" customHeight="1">
      <c r="A26" s="352">
        <v>20</v>
      </c>
      <c r="B26" s="350">
        <f t="shared" si="0"/>
        <v>0</v>
      </c>
      <c r="C26" s="364"/>
      <c r="D26" s="374"/>
      <c r="E26" s="365"/>
    </row>
    <row r="27" spans="1:5" ht="12.75" customHeight="1">
      <c r="A27" s="352">
        <v>21</v>
      </c>
      <c r="B27" s="350">
        <f t="shared" si="0"/>
        <v>0</v>
      </c>
      <c r="C27" s="364"/>
      <c r="D27" s="374"/>
      <c r="E27" s="365"/>
    </row>
    <row r="28" spans="1:5" ht="12.75" customHeight="1">
      <c r="A28" s="352">
        <v>22</v>
      </c>
      <c r="B28" s="350">
        <f t="shared" si="0"/>
        <v>0</v>
      </c>
      <c r="C28" s="364"/>
      <c r="D28" s="374"/>
      <c r="E28" s="365"/>
    </row>
    <row r="29" spans="1:5" ht="12.75" customHeight="1">
      <c r="A29" s="352">
        <v>23</v>
      </c>
      <c r="B29" s="350">
        <f t="shared" si="0"/>
        <v>0</v>
      </c>
      <c r="C29" s="364"/>
      <c r="D29" s="374"/>
      <c r="E29" s="365"/>
    </row>
    <row r="30" spans="1:5" ht="12.75" customHeight="1">
      <c r="A30" s="352">
        <v>24</v>
      </c>
      <c r="B30" s="350">
        <f t="shared" si="0"/>
        <v>0</v>
      </c>
      <c r="C30" s="364"/>
      <c r="D30" s="374"/>
      <c r="E30" s="365"/>
    </row>
    <row r="31" spans="1:5" ht="12.75" customHeight="1">
      <c r="A31" s="352">
        <v>25</v>
      </c>
      <c r="B31" s="350">
        <f t="shared" si="0"/>
        <v>0</v>
      </c>
      <c r="C31" s="364"/>
      <c r="D31" s="374"/>
      <c r="E31" s="365"/>
    </row>
    <row r="32" spans="1:5" ht="12.75" customHeight="1">
      <c r="A32" s="352">
        <v>26</v>
      </c>
      <c r="B32" s="350">
        <f t="shared" si="0"/>
        <v>0</v>
      </c>
      <c r="C32" s="364"/>
      <c r="D32" s="374"/>
      <c r="E32" s="365"/>
    </row>
    <row r="33" spans="1:5" ht="12.75" customHeight="1">
      <c r="A33" s="352">
        <v>27</v>
      </c>
      <c r="B33" s="350">
        <f t="shared" si="0"/>
        <v>0</v>
      </c>
      <c r="C33" s="364"/>
      <c r="D33" s="374"/>
      <c r="E33" s="365"/>
    </row>
    <row r="34" spans="1:5" ht="12.75" customHeight="1">
      <c r="A34" s="352">
        <v>28</v>
      </c>
      <c r="B34" s="350">
        <f t="shared" si="0"/>
        <v>0</v>
      </c>
      <c r="C34" s="364"/>
      <c r="D34" s="374"/>
      <c r="E34" s="365"/>
    </row>
    <row r="35" spans="1:5" ht="12.75" customHeight="1">
      <c r="A35" s="352">
        <v>29</v>
      </c>
      <c r="B35" s="350">
        <f t="shared" si="0"/>
        <v>0</v>
      </c>
      <c r="C35" s="364"/>
      <c r="D35" s="374"/>
      <c r="E35" s="365"/>
    </row>
    <row r="36" spans="1:5" ht="12.75" customHeight="1">
      <c r="A36" s="352">
        <v>30</v>
      </c>
      <c r="B36" s="350">
        <f t="shared" si="0"/>
        <v>0</v>
      </c>
      <c r="C36" s="364"/>
      <c r="D36" s="374"/>
      <c r="E36" s="365"/>
    </row>
    <row r="37" spans="1:5" ht="12.75" customHeight="1">
      <c r="A37" s="352">
        <v>31</v>
      </c>
      <c r="B37" s="350">
        <f t="shared" si="0"/>
        <v>0</v>
      </c>
      <c r="C37" s="364"/>
      <c r="D37" s="374"/>
      <c r="E37" s="365"/>
    </row>
    <row r="38" spans="1:5" ht="12.75" customHeight="1">
      <c r="A38" s="352">
        <v>32</v>
      </c>
      <c r="B38" s="350">
        <f t="shared" si="0"/>
        <v>0</v>
      </c>
      <c r="C38" s="364"/>
      <c r="D38" s="374"/>
      <c r="E38" s="365"/>
    </row>
    <row r="39" spans="1:5" ht="12.75" customHeight="1">
      <c r="A39" s="352">
        <v>33</v>
      </c>
      <c r="B39" s="350">
        <f t="shared" si="0"/>
        <v>0</v>
      </c>
      <c r="C39" s="364"/>
      <c r="D39" s="374"/>
      <c r="E39" s="365"/>
    </row>
    <row r="40" spans="1:5" ht="12.75" customHeight="1">
      <c r="A40" s="352">
        <v>34</v>
      </c>
      <c r="B40" s="350">
        <f t="shared" si="0"/>
        <v>0</v>
      </c>
      <c r="C40" s="364"/>
      <c r="D40" s="374"/>
      <c r="E40" s="365"/>
    </row>
    <row r="41" spans="1:5" ht="12.75" customHeight="1">
      <c r="A41" s="352">
        <v>35</v>
      </c>
      <c r="B41" s="350">
        <f t="shared" si="0"/>
        <v>0</v>
      </c>
      <c r="C41" s="364"/>
      <c r="D41" s="374"/>
      <c r="E41" s="365"/>
    </row>
    <row r="42" spans="1:5" ht="12.75" customHeight="1">
      <c r="A42" s="352">
        <v>36</v>
      </c>
      <c r="B42" s="350">
        <f t="shared" si="0"/>
        <v>0</v>
      </c>
      <c r="C42" s="364"/>
      <c r="D42" s="374"/>
      <c r="E42" s="365"/>
    </row>
    <row r="43" spans="1:5" ht="12.75" customHeight="1">
      <c r="A43" s="352">
        <v>37</v>
      </c>
      <c r="B43" s="350">
        <f t="shared" si="0"/>
        <v>0</v>
      </c>
      <c r="C43" s="364"/>
      <c r="D43" s="374"/>
      <c r="E43" s="365"/>
    </row>
    <row r="44" spans="1:5" ht="12.75" customHeight="1">
      <c r="A44" s="352">
        <v>38</v>
      </c>
      <c r="B44" s="350">
        <f t="shared" si="0"/>
        <v>0</v>
      </c>
      <c r="C44" s="364"/>
      <c r="D44" s="374"/>
      <c r="E44" s="365"/>
    </row>
    <row r="45" spans="1:5" ht="12.75" customHeight="1">
      <c r="A45" s="352">
        <v>39</v>
      </c>
      <c r="B45" s="350">
        <f t="shared" si="0"/>
        <v>0</v>
      </c>
      <c r="C45" s="364"/>
      <c r="D45" s="374"/>
      <c r="E45" s="365"/>
    </row>
    <row r="46" spans="1:5" ht="12.75" customHeight="1">
      <c r="A46" s="352">
        <v>40</v>
      </c>
      <c r="B46" s="350">
        <f t="shared" si="0"/>
        <v>0</v>
      </c>
      <c r="C46" s="364"/>
      <c r="D46" s="374"/>
      <c r="E46" s="365"/>
    </row>
    <row r="47" spans="1:5" ht="12.75" customHeight="1">
      <c r="A47" s="352">
        <v>41</v>
      </c>
      <c r="B47" s="350">
        <f t="shared" si="0"/>
        <v>0</v>
      </c>
      <c r="C47" s="364"/>
      <c r="D47" s="374"/>
      <c r="E47" s="365"/>
    </row>
    <row r="48" spans="1:5" ht="12.75" customHeight="1">
      <c r="A48" s="352">
        <v>42</v>
      </c>
      <c r="B48" s="350">
        <f t="shared" si="0"/>
        <v>0</v>
      </c>
      <c r="C48" s="364"/>
      <c r="D48" s="374"/>
      <c r="E48" s="365"/>
    </row>
    <row r="49" spans="1:5" ht="12.75" customHeight="1">
      <c r="A49" s="352">
        <v>43</v>
      </c>
      <c r="B49" s="350">
        <f t="shared" si="0"/>
        <v>0</v>
      </c>
      <c r="C49" s="364"/>
      <c r="D49" s="374"/>
      <c r="E49" s="365"/>
    </row>
    <row r="50" spans="1:5" ht="12.75" customHeight="1">
      <c r="A50" s="352">
        <v>44</v>
      </c>
      <c r="B50" s="350">
        <f t="shared" si="0"/>
        <v>0</v>
      </c>
      <c r="C50" s="364"/>
      <c r="D50" s="374"/>
      <c r="E50" s="365"/>
    </row>
    <row r="51" spans="1:5" ht="12.75" customHeight="1">
      <c r="A51" s="352">
        <v>45</v>
      </c>
      <c r="B51" s="350">
        <f t="shared" si="0"/>
        <v>0</v>
      </c>
      <c r="C51" s="364"/>
      <c r="D51" s="374"/>
      <c r="E51" s="365"/>
    </row>
    <row r="52" spans="1:5" ht="12.75" customHeight="1">
      <c r="A52" s="352">
        <v>46</v>
      </c>
      <c r="B52" s="350">
        <f t="shared" si="0"/>
        <v>0</v>
      </c>
      <c r="C52" s="364"/>
      <c r="D52" s="374"/>
      <c r="E52" s="365"/>
    </row>
    <row r="53" spans="1:5" ht="12.75" customHeight="1">
      <c r="A53" s="352">
        <v>47</v>
      </c>
      <c r="B53" s="350">
        <f t="shared" si="0"/>
        <v>0</v>
      </c>
      <c r="C53" s="364"/>
      <c r="D53" s="374"/>
      <c r="E53" s="365"/>
    </row>
    <row r="54" spans="1:5" ht="12.75" customHeight="1">
      <c r="A54" s="352">
        <v>48</v>
      </c>
      <c r="B54" s="350">
        <f t="shared" si="0"/>
        <v>0</v>
      </c>
      <c r="C54" s="364"/>
      <c r="D54" s="374"/>
      <c r="E54" s="365"/>
    </row>
    <row r="55" spans="1:5" ht="12.75" customHeight="1">
      <c r="A55" s="352">
        <v>49</v>
      </c>
      <c r="B55" s="350">
        <f t="shared" si="0"/>
        <v>0</v>
      </c>
      <c r="C55" s="364"/>
      <c r="D55" s="374"/>
      <c r="E55" s="365"/>
    </row>
    <row r="56" spans="1:5" ht="12.75" customHeight="1">
      <c r="A56" s="352">
        <v>50</v>
      </c>
      <c r="B56" s="350">
        <f t="shared" si="0"/>
        <v>0</v>
      </c>
      <c r="C56" s="364"/>
      <c r="D56" s="374"/>
      <c r="E56" s="365"/>
    </row>
    <row r="57" spans="1:5" ht="12.75" customHeight="1">
      <c r="A57" s="352">
        <v>51</v>
      </c>
      <c r="B57" s="350">
        <f t="shared" si="0"/>
        <v>0</v>
      </c>
      <c r="C57" s="364"/>
      <c r="D57" s="374"/>
      <c r="E57" s="365"/>
    </row>
    <row r="58" spans="1:5" ht="12.75" customHeight="1">
      <c r="A58" s="352">
        <v>52</v>
      </c>
      <c r="B58" s="350">
        <f t="shared" si="0"/>
        <v>0</v>
      </c>
      <c r="C58" s="364"/>
      <c r="D58" s="374"/>
      <c r="E58" s="365"/>
    </row>
    <row r="59" spans="1:5" ht="12.75" customHeight="1">
      <c r="A59" s="352">
        <v>53</v>
      </c>
      <c r="B59" s="350">
        <f t="shared" si="0"/>
        <v>0</v>
      </c>
      <c r="C59" s="364"/>
      <c r="D59" s="374"/>
      <c r="E59" s="365"/>
    </row>
    <row r="60" spans="1:5" ht="12.75" customHeight="1">
      <c r="A60" s="352">
        <v>54</v>
      </c>
      <c r="B60" s="350">
        <f t="shared" si="0"/>
        <v>0</v>
      </c>
      <c r="C60" s="364"/>
      <c r="D60" s="374"/>
      <c r="E60" s="365"/>
    </row>
    <row r="61" spans="1:5" ht="12.75" customHeight="1">
      <c r="A61" s="352">
        <v>55</v>
      </c>
      <c r="B61" s="350">
        <f t="shared" si="0"/>
        <v>0</v>
      </c>
      <c r="C61" s="364"/>
      <c r="D61" s="374"/>
      <c r="E61" s="365"/>
    </row>
    <row r="62" spans="1:5" ht="12.75" customHeight="1">
      <c r="A62" s="352">
        <v>56</v>
      </c>
      <c r="B62" s="350">
        <f t="shared" si="0"/>
        <v>0</v>
      </c>
      <c r="C62" s="364"/>
      <c r="D62" s="374"/>
      <c r="E62" s="365"/>
    </row>
    <row r="63" spans="1:5" ht="12.75" customHeight="1">
      <c r="A63" s="352">
        <v>57</v>
      </c>
      <c r="B63" s="350">
        <f t="shared" si="0"/>
        <v>0</v>
      </c>
      <c r="C63" s="364"/>
      <c r="D63" s="374"/>
      <c r="E63" s="365"/>
    </row>
    <row r="64" spans="1:5" ht="12.75" customHeight="1">
      <c r="A64" s="352">
        <v>58</v>
      </c>
      <c r="B64" s="350">
        <f t="shared" si="0"/>
        <v>0</v>
      </c>
      <c r="C64" s="364"/>
      <c r="D64" s="374"/>
      <c r="E64" s="365"/>
    </row>
    <row r="65" spans="1:5" ht="12.75" customHeight="1">
      <c r="A65" s="352">
        <v>59</v>
      </c>
      <c r="B65" s="350">
        <f t="shared" si="0"/>
        <v>0</v>
      </c>
      <c r="C65" s="364"/>
      <c r="D65" s="374"/>
      <c r="E65" s="365"/>
    </row>
    <row r="66" spans="1:5" ht="12.75" customHeight="1">
      <c r="A66" s="352">
        <v>60</v>
      </c>
      <c r="B66" s="350">
        <f t="shared" si="0"/>
        <v>0</v>
      </c>
      <c r="C66" s="364"/>
      <c r="D66" s="374"/>
      <c r="E66" s="365"/>
    </row>
    <row r="67" spans="1:5" ht="12.75" customHeight="1">
      <c r="A67" s="352">
        <v>61</v>
      </c>
      <c r="B67" s="350">
        <f t="shared" si="0"/>
        <v>0</v>
      </c>
      <c r="C67" s="364"/>
      <c r="D67" s="374"/>
      <c r="E67" s="365"/>
    </row>
    <row r="68" spans="1:5" ht="12.75" customHeight="1">
      <c r="A68" s="352">
        <v>62</v>
      </c>
      <c r="B68" s="350">
        <f t="shared" si="0"/>
        <v>0</v>
      </c>
      <c r="C68" s="364"/>
      <c r="D68" s="374"/>
      <c r="E68" s="365"/>
    </row>
    <row r="69" spans="1:5" ht="12.75" customHeight="1">
      <c r="A69" s="352">
        <v>63</v>
      </c>
      <c r="B69" s="350">
        <f t="shared" si="0"/>
        <v>0</v>
      </c>
      <c r="C69" s="364"/>
      <c r="D69" s="374"/>
      <c r="E69" s="365"/>
    </row>
    <row r="70" spans="1:5" ht="12.75" customHeight="1">
      <c r="A70" s="352">
        <v>64</v>
      </c>
      <c r="B70" s="350">
        <f t="shared" si="0"/>
        <v>0</v>
      </c>
      <c r="C70" s="364"/>
      <c r="D70" s="374"/>
      <c r="E70" s="365"/>
    </row>
    <row r="71" spans="1:5" ht="12.75" customHeight="1">
      <c r="A71" s="352">
        <v>65</v>
      </c>
      <c r="B71" s="350">
        <f t="shared" si="0"/>
        <v>0</v>
      </c>
      <c r="C71" s="364"/>
      <c r="D71" s="374"/>
      <c r="E71" s="365"/>
    </row>
    <row r="72" spans="1:5" ht="12.75" customHeight="1">
      <c r="A72" s="352">
        <v>66</v>
      </c>
      <c r="B72" s="350">
        <f aca="true" t="shared" si="1" ref="B72:B135">IF(F72&lt;&gt;"",F72,INDEX($C$7:$F$1003,A72,$C$2))</f>
        <v>0</v>
      </c>
      <c r="C72" s="364"/>
      <c r="D72" s="374"/>
      <c r="E72" s="365"/>
    </row>
    <row r="73" spans="1:5" ht="12.75" customHeight="1">
      <c r="A73" s="352">
        <v>67</v>
      </c>
      <c r="B73" s="350">
        <f t="shared" si="1"/>
        <v>0</v>
      </c>
      <c r="C73" s="364"/>
      <c r="D73" s="374"/>
      <c r="E73" s="365"/>
    </row>
    <row r="74" spans="1:5" ht="12.75" customHeight="1">
      <c r="A74" s="352">
        <v>68</v>
      </c>
      <c r="B74" s="350">
        <f t="shared" si="1"/>
        <v>0</v>
      </c>
      <c r="C74" s="364"/>
      <c r="D74" s="374"/>
      <c r="E74" s="365"/>
    </row>
    <row r="75" spans="1:5" ht="12.75" customHeight="1">
      <c r="A75" s="352">
        <v>69</v>
      </c>
      <c r="B75" s="350">
        <f t="shared" si="1"/>
        <v>0</v>
      </c>
      <c r="C75" s="364"/>
      <c r="D75" s="374"/>
      <c r="E75" s="365"/>
    </row>
    <row r="76" spans="1:5" ht="12.75" customHeight="1">
      <c r="A76" s="352">
        <v>70</v>
      </c>
      <c r="B76" s="350">
        <f t="shared" si="1"/>
        <v>0</v>
      </c>
      <c r="C76" s="364"/>
      <c r="D76" s="374"/>
      <c r="E76" s="365"/>
    </row>
    <row r="77" spans="1:5" ht="12.75" customHeight="1">
      <c r="A77" s="352">
        <v>71</v>
      </c>
      <c r="B77" s="350">
        <f t="shared" si="1"/>
        <v>0</v>
      </c>
      <c r="C77" s="364"/>
      <c r="D77" s="374"/>
      <c r="E77" s="365"/>
    </row>
    <row r="78" spans="1:5" ht="12.75" customHeight="1">
      <c r="A78" s="352">
        <v>72</v>
      </c>
      <c r="B78" s="350">
        <f t="shared" si="1"/>
        <v>0</v>
      </c>
      <c r="C78" s="364"/>
      <c r="D78" s="374"/>
      <c r="E78" s="365"/>
    </row>
    <row r="79" spans="1:5" ht="12.75" customHeight="1">
      <c r="A79" s="352">
        <v>73</v>
      </c>
      <c r="B79" s="350">
        <f t="shared" si="1"/>
        <v>0</v>
      </c>
      <c r="C79" s="364"/>
      <c r="D79" s="374"/>
      <c r="E79" s="365"/>
    </row>
    <row r="80" spans="1:5" ht="12.75" customHeight="1">
      <c r="A80" s="352">
        <v>74</v>
      </c>
      <c r="B80" s="350">
        <f t="shared" si="1"/>
        <v>0</v>
      </c>
      <c r="C80" s="364"/>
      <c r="D80" s="374"/>
      <c r="E80" s="365"/>
    </row>
    <row r="81" spans="1:5" ht="12.75" customHeight="1">
      <c r="A81" s="352">
        <v>75</v>
      </c>
      <c r="B81" s="350">
        <f t="shared" si="1"/>
        <v>0</v>
      </c>
      <c r="C81" s="364"/>
      <c r="D81" s="374"/>
      <c r="E81" s="365"/>
    </row>
    <row r="82" spans="1:5" ht="12.75" customHeight="1">
      <c r="A82" s="352">
        <v>76</v>
      </c>
      <c r="B82" s="350">
        <f t="shared" si="1"/>
        <v>0</v>
      </c>
      <c r="C82" s="364"/>
      <c r="D82" s="374"/>
      <c r="E82" s="365"/>
    </row>
    <row r="83" spans="1:5" ht="12.75" customHeight="1">
      <c r="A83" s="352">
        <v>77</v>
      </c>
      <c r="B83" s="350">
        <f t="shared" si="1"/>
        <v>0</v>
      </c>
      <c r="C83" s="364"/>
      <c r="D83" s="374"/>
      <c r="E83" s="365"/>
    </row>
    <row r="84" spans="1:5" ht="12.75" customHeight="1">
      <c r="A84" s="352">
        <v>78</v>
      </c>
      <c r="B84" s="350">
        <f t="shared" si="1"/>
        <v>0</v>
      </c>
      <c r="C84" s="364"/>
      <c r="D84" s="374"/>
      <c r="E84" s="365"/>
    </row>
    <row r="85" spans="1:5" ht="12.75" customHeight="1">
      <c r="A85" s="352">
        <v>79</v>
      </c>
      <c r="B85" s="350">
        <f t="shared" si="1"/>
        <v>0</v>
      </c>
      <c r="C85" s="364"/>
      <c r="D85" s="374"/>
      <c r="E85" s="365"/>
    </row>
    <row r="86" spans="1:5" ht="12.75" customHeight="1">
      <c r="A86" s="352">
        <v>80</v>
      </c>
      <c r="B86" s="350">
        <f t="shared" si="1"/>
        <v>0</v>
      </c>
      <c r="C86" s="364"/>
      <c r="D86" s="374"/>
      <c r="E86" s="365"/>
    </row>
    <row r="87" spans="1:5" ht="12.75" customHeight="1">
      <c r="A87" s="352">
        <v>81</v>
      </c>
      <c r="B87" s="350">
        <f t="shared" si="1"/>
        <v>0</v>
      </c>
      <c r="C87" s="364"/>
      <c r="D87" s="374"/>
      <c r="E87" s="365"/>
    </row>
    <row r="88" spans="1:5" ht="12.75" customHeight="1">
      <c r="A88" s="352">
        <v>82</v>
      </c>
      <c r="B88" s="350">
        <f t="shared" si="1"/>
        <v>0</v>
      </c>
      <c r="C88" s="364"/>
      <c r="D88" s="374"/>
      <c r="E88" s="365"/>
    </row>
    <row r="89" spans="1:5" ht="12.75" customHeight="1">
      <c r="A89" s="352">
        <v>83</v>
      </c>
      <c r="B89" s="350">
        <f t="shared" si="1"/>
        <v>0</v>
      </c>
      <c r="C89" s="364"/>
      <c r="D89" s="374"/>
      <c r="E89" s="365"/>
    </row>
    <row r="90" spans="1:5" ht="12.75" customHeight="1">
      <c r="A90" s="352">
        <v>84</v>
      </c>
      <c r="B90" s="350">
        <f t="shared" si="1"/>
        <v>0</v>
      </c>
      <c r="C90" s="364"/>
      <c r="D90" s="374"/>
      <c r="E90" s="365"/>
    </row>
    <row r="91" spans="1:5" ht="12.75" customHeight="1">
      <c r="A91" s="352">
        <v>85</v>
      </c>
      <c r="B91" s="350">
        <f t="shared" si="1"/>
        <v>0</v>
      </c>
      <c r="C91" s="364"/>
      <c r="D91" s="374"/>
      <c r="E91" s="365"/>
    </row>
    <row r="92" spans="1:5" ht="12.75">
      <c r="A92" s="352">
        <v>86</v>
      </c>
      <c r="B92" s="350">
        <f t="shared" si="1"/>
        <v>0</v>
      </c>
      <c r="C92" s="364"/>
      <c r="D92" s="374"/>
      <c r="E92" s="365"/>
    </row>
    <row r="93" spans="1:5" ht="12.75">
      <c r="A93" s="352">
        <v>87</v>
      </c>
      <c r="B93" s="350">
        <f t="shared" si="1"/>
        <v>0</v>
      </c>
      <c r="C93" s="364"/>
      <c r="D93" s="374"/>
      <c r="E93" s="365"/>
    </row>
    <row r="94" spans="1:5" ht="12.75">
      <c r="A94" s="352">
        <v>88</v>
      </c>
      <c r="B94" s="350" t="str">
        <f t="shared" si="1"/>
        <v>Liter</v>
      </c>
      <c r="C94" s="364" t="s">
        <v>628</v>
      </c>
      <c r="D94" s="374" t="s">
        <v>629</v>
      </c>
      <c r="E94" s="365" t="s">
        <v>149</v>
      </c>
    </row>
    <row r="95" spans="1:5" ht="12.75">
      <c r="A95" s="352">
        <v>89</v>
      </c>
      <c r="B95" s="350" t="str">
        <f t="shared" si="1"/>
        <v>MFH</v>
      </c>
      <c r="C95" s="364" t="s">
        <v>1002</v>
      </c>
      <c r="D95" s="374" t="s">
        <v>630</v>
      </c>
      <c r="E95" s="365" t="s">
        <v>150</v>
      </c>
    </row>
    <row r="96" spans="1:5" ht="12.75">
      <c r="A96" s="352">
        <v>90</v>
      </c>
      <c r="B96" s="350" t="str">
        <f t="shared" si="1"/>
        <v>EFH</v>
      </c>
      <c r="C96" s="364" t="s">
        <v>1003</v>
      </c>
      <c r="D96" s="374" t="s">
        <v>631</v>
      </c>
      <c r="E96" s="365" t="s">
        <v>151</v>
      </c>
    </row>
    <row r="97" spans="1:5" ht="12.75">
      <c r="A97" s="352">
        <v>91</v>
      </c>
      <c r="B97" s="350" t="str">
        <f t="shared" si="1"/>
        <v>Verwaltung</v>
      </c>
      <c r="C97" s="364" t="s">
        <v>135</v>
      </c>
      <c r="D97" s="374" t="s">
        <v>632</v>
      </c>
      <c r="E97" s="365" t="s">
        <v>152</v>
      </c>
    </row>
    <row r="98" spans="1:5" ht="12.75">
      <c r="A98" s="352">
        <v>92</v>
      </c>
      <c r="B98" s="350" t="str">
        <f t="shared" si="1"/>
        <v>Schule</v>
      </c>
      <c r="C98" s="364" t="s">
        <v>417</v>
      </c>
      <c r="D98" s="374" t="s">
        <v>633</v>
      </c>
      <c r="E98" s="365" t="s">
        <v>153</v>
      </c>
    </row>
    <row r="99" spans="1:5" ht="12.75">
      <c r="A99" s="352">
        <v>93</v>
      </c>
      <c r="B99" s="350" t="str">
        <f t="shared" si="1"/>
        <v>Verkauf</v>
      </c>
      <c r="C99" s="364" t="s">
        <v>418</v>
      </c>
      <c r="D99" s="374" t="s">
        <v>634</v>
      </c>
      <c r="E99" s="365" t="s">
        <v>154</v>
      </c>
    </row>
    <row r="100" spans="1:5" ht="12.75">
      <c r="A100" s="352">
        <v>94</v>
      </c>
      <c r="B100" s="350" t="str">
        <f t="shared" si="1"/>
        <v>Restaurant</v>
      </c>
      <c r="C100" s="364" t="s">
        <v>136</v>
      </c>
      <c r="D100" s="374" t="s">
        <v>635</v>
      </c>
      <c r="E100" s="365" t="s">
        <v>155</v>
      </c>
    </row>
    <row r="101" spans="1:5" ht="12.75">
      <c r="A101" s="352">
        <v>95</v>
      </c>
      <c r="B101" s="350" t="str">
        <f t="shared" si="1"/>
        <v>Vers.</v>
      </c>
      <c r="C101" s="364" t="s">
        <v>1004</v>
      </c>
      <c r="D101" s="374" t="s">
        <v>642</v>
      </c>
      <c r="E101" s="365" t="s">
        <v>156</v>
      </c>
    </row>
    <row r="102" spans="1:5" ht="12.75">
      <c r="A102" s="352">
        <v>96</v>
      </c>
      <c r="B102" s="350" t="str">
        <f t="shared" si="1"/>
        <v>Spitäler</v>
      </c>
      <c r="C102" s="364" t="s">
        <v>419</v>
      </c>
      <c r="D102" s="374" t="s">
        <v>636</v>
      </c>
      <c r="E102" s="365" t="s">
        <v>157</v>
      </c>
    </row>
    <row r="103" spans="1:5" ht="12.75">
      <c r="A103" s="352">
        <v>97</v>
      </c>
      <c r="B103" s="350" t="str">
        <f t="shared" si="1"/>
        <v>Industrie</v>
      </c>
      <c r="C103" s="364" t="s">
        <v>1</v>
      </c>
      <c r="D103" s="374" t="s">
        <v>1</v>
      </c>
      <c r="E103" s="365" t="s">
        <v>1</v>
      </c>
    </row>
    <row r="104" spans="1:5" ht="12.75">
      <c r="A104" s="352">
        <v>98</v>
      </c>
      <c r="B104" s="350" t="str">
        <f t="shared" si="1"/>
        <v>Lager</v>
      </c>
      <c r="C104" s="364" t="s">
        <v>420</v>
      </c>
      <c r="D104" s="374" t="s">
        <v>637</v>
      </c>
      <c r="E104" s="365" t="s">
        <v>158</v>
      </c>
    </row>
    <row r="105" spans="1:5" ht="12.75">
      <c r="A105" s="352">
        <v>99</v>
      </c>
      <c r="B105" s="350" t="str">
        <f t="shared" si="1"/>
        <v>Sportbau</v>
      </c>
      <c r="C105" s="364" t="s">
        <v>421</v>
      </c>
      <c r="D105" s="374" t="s">
        <v>731</v>
      </c>
      <c r="E105" s="365" t="s">
        <v>159</v>
      </c>
    </row>
    <row r="106" spans="1:5" ht="12.75">
      <c r="A106" s="352">
        <v>100</v>
      </c>
      <c r="B106" s="350" t="str">
        <f t="shared" si="1"/>
        <v>Hallenbad</v>
      </c>
      <c r="C106" s="364" t="s">
        <v>137</v>
      </c>
      <c r="D106" s="374" t="s">
        <v>638</v>
      </c>
      <c r="E106" s="365" t="s">
        <v>160</v>
      </c>
    </row>
    <row r="107" spans="1:5" ht="12.75">
      <c r="A107" s="352">
        <v>101</v>
      </c>
      <c r="B107" s="350" t="str">
        <f t="shared" si="1"/>
        <v>Heizung</v>
      </c>
      <c r="C107" s="364" t="s">
        <v>431</v>
      </c>
      <c r="D107" s="374" t="s">
        <v>639</v>
      </c>
      <c r="E107" s="365" t="s">
        <v>161</v>
      </c>
    </row>
    <row r="108" spans="1:5" ht="12.75">
      <c r="A108" s="352">
        <v>102</v>
      </c>
      <c r="B108" s="350" t="str">
        <f t="shared" si="1"/>
        <v>Warmwasser</v>
      </c>
      <c r="C108" s="364" t="s">
        <v>432</v>
      </c>
      <c r="D108" s="374" t="s">
        <v>640</v>
      </c>
      <c r="E108" s="365" t="s">
        <v>162</v>
      </c>
    </row>
    <row r="109" spans="1:5" ht="12.75">
      <c r="A109" s="352">
        <v>103</v>
      </c>
      <c r="B109" s="350" t="str">
        <f t="shared" si="1"/>
        <v>Heizung + Warmwasser</v>
      </c>
      <c r="C109" s="364" t="s">
        <v>1134</v>
      </c>
      <c r="D109" s="374" t="s">
        <v>641</v>
      </c>
      <c r="E109" s="365" t="s">
        <v>163</v>
      </c>
    </row>
    <row r="110" spans="1:5" ht="12.75" customHeight="1">
      <c r="A110" s="352">
        <v>104</v>
      </c>
      <c r="B110" s="350">
        <f t="shared" si="1"/>
        <v>0</v>
      </c>
      <c r="C110" s="364"/>
      <c r="D110" s="374"/>
      <c r="E110" s="365"/>
    </row>
    <row r="111" spans="1:5" ht="12.75" customHeight="1">
      <c r="A111" s="352">
        <v>105</v>
      </c>
      <c r="B111" s="350">
        <f t="shared" si="1"/>
        <v>0</v>
      </c>
      <c r="C111" s="364"/>
      <c r="D111" s="374"/>
      <c r="E111" s="365"/>
    </row>
    <row r="112" spans="1:5" ht="12.75" customHeight="1">
      <c r="A112" s="352">
        <v>106</v>
      </c>
      <c r="B112" s="350">
        <f t="shared" si="1"/>
        <v>0</v>
      </c>
      <c r="C112" s="364"/>
      <c r="D112" s="374"/>
      <c r="E112" s="365"/>
    </row>
    <row r="113" spans="1:5" ht="12.75" customHeight="1">
      <c r="A113" s="352">
        <v>107</v>
      </c>
      <c r="B113" s="350">
        <f t="shared" si="1"/>
        <v>0</v>
      </c>
      <c r="C113" s="364"/>
      <c r="D113" s="374"/>
      <c r="E113" s="365"/>
    </row>
    <row r="114" spans="1:5" ht="12.75" customHeight="1">
      <c r="A114" s="352">
        <v>108</v>
      </c>
      <c r="B114" s="350">
        <f t="shared" si="1"/>
        <v>0</v>
      </c>
      <c r="C114" s="364"/>
      <c r="D114" s="374"/>
      <c r="E114" s="365"/>
    </row>
    <row r="115" spans="1:5" ht="12.75" customHeight="1">
      <c r="A115" s="352">
        <v>109</v>
      </c>
      <c r="B115" s="350">
        <f t="shared" si="1"/>
        <v>0</v>
      </c>
      <c r="C115" s="364"/>
      <c r="D115" s="374"/>
      <c r="E115" s="365"/>
    </row>
    <row r="116" spans="1:5" ht="12.75" customHeight="1">
      <c r="A116" s="352">
        <v>110</v>
      </c>
      <c r="B116" s="350">
        <f t="shared" si="1"/>
        <v>0</v>
      </c>
      <c r="C116" s="364"/>
      <c r="D116" s="374"/>
      <c r="E116" s="365"/>
    </row>
    <row r="117" spans="1:5" ht="12.75" customHeight="1">
      <c r="A117" s="352">
        <v>111</v>
      </c>
      <c r="B117" s="350">
        <f t="shared" si="1"/>
        <v>0</v>
      </c>
      <c r="C117" s="364"/>
      <c r="D117" s="374"/>
      <c r="E117" s="365"/>
    </row>
    <row r="118" spans="1:5" ht="12.75" customHeight="1">
      <c r="A118" s="352">
        <v>112</v>
      </c>
      <c r="B118" s="350">
        <f t="shared" si="1"/>
        <v>0</v>
      </c>
      <c r="C118" s="364"/>
      <c r="D118" s="374"/>
      <c r="E118" s="365"/>
    </row>
    <row r="119" spans="1:5" ht="12.75" customHeight="1">
      <c r="A119" s="352">
        <v>113</v>
      </c>
      <c r="B119" s="350">
        <f t="shared" si="1"/>
        <v>0</v>
      </c>
      <c r="C119" s="364"/>
      <c r="D119" s="374"/>
      <c r="E119" s="365"/>
    </row>
    <row r="120" spans="1:5" ht="12.75" customHeight="1">
      <c r="A120" s="352">
        <v>114</v>
      </c>
      <c r="B120" s="350">
        <f t="shared" si="1"/>
        <v>0</v>
      </c>
      <c r="C120" s="364"/>
      <c r="D120" s="374"/>
      <c r="E120" s="365"/>
    </row>
    <row r="121" spans="1:5" ht="12.75" customHeight="1">
      <c r="A121" s="352">
        <v>115</v>
      </c>
      <c r="B121" s="350">
        <f t="shared" si="1"/>
        <v>0</v>
      </c>
      <c r="C121" s="364"/>
      <c r="D121" s="374"/>
      <c r="E121" s="365"/>
    </row>
    <row r="122" spans="1:5" ht="12.75" customHeight="1">
      <c r="A122" s="352">
        <v>116</v>
      </c>
      <c r="B122" s="350">
        <f t="shared" si="1"/>
        <v>0</v>
      </c>
      <c r="C122" s="364"/>
      <c r="D122" s="374"/>
      <c r="E122" s="365"/>
    </row>
    <row r="123" spans="1:5" ht="12.75" customHeight="1">
      <c r="A123" s="352">
        <v>117</v>
      </c>
      <c r="B123" s="350">
        <f t="shared" si="1"/>
        <v>0</v>
      </c>
      <c r="C123" s="364"/>
      <c r="D123" s="374"/>
      <c r="E123" s="365"/>
    </row>
    <row r="124" spans="1:5" ht="12.75" customHeight="1">
      <c r="A124" s="352">
        <v>118</v>
      </c>
      <c r="B124" s="350">
        <f t="shared" si="1"/>
        <v>0</v>
      </c>
      <c r="C124" s="364"/>
      <c r="D124" s="374"/>
      <c r="E124" s="365"/>
    </row>
    <row r="125" spans="1:5" ht="12.75" customHeight="1">
      <c r="A125" s="352">
        <v>119</v>
      </c>
      <c r="B125" s="350">
        <f t="shared" si="1"/>
        <v>0</v>
      </c>
      <c r="C125" s="364"/>
      <c r="D125" s="374"/>
      <c r="E125" s="365"/>
    </row>
    <row r="126" spans="1:5" ht="12.75" customHeight="1">
      <c r="A126" s="352">
        <v>120</v>
      </c>
      <c r="B126" s="350">
        <f t="shared" si="1"/>
        <v>0</v>
      </c>
      <c r="C126" s="364"/>
      <c r="D126" s="374"/>
      <c r="E126" s="365"/>
    </row>
    <row r="127" spans="1:5" ht="12.75" customHeight="1">
      <c r="A127" s="352">
        <v>121</v>
      </c>
      <c r="B127" s="350">
        <f t="shared" si="1"/>
        <v>0</v>
      </c>
      <c r="C127" s="364"/>
      <c r="D127" s="374"/>
      <c r="E127" s="365"/>
    </row>
    <row r="128" spans="1:5" ht="12.75" customHeight="1">
      <c r="A128" s="352">
        <v>122</v>
      </c>
      <c r="B128" s="350">
        <f t="shared" si="1"/>
        <v>0</v>
      </c>
      <c r="C128" s="364"/>
      <c r="D128" s="374"/>
      <c r="E128" s="365"/>
    </row>
    <row r="129" spans="1:5" ht="12.75" customHeight="1">
      <c r="A129" s="352">
        <v>123</v>
      </c>
      <c r="B129" s="350">
        <f t="shared" si="1"/>
        <v>0</v>
      </c>
      <c r="C129" s="364"/>
      <c r="D129" s="374"/>
      <c r="E129" s="365"/>
    </row>
    <row r="130" spans="1:5" ht="12.75" customHeight="1">
      <c r="A130" s="352">
        <v>124</v>
      </c>
      <c r="B130" s="350">
        <f t="shared" si="1"/>
        <v>0</v>
      </c>
      <c r="C130" s="364"/>
      <c r="D130" s="374"/>
      <c r="E130" s="365"/>
    </row>
    <row r="131" spans="1:5" ht="12.75" customHeight="1">
      <c r="A131" s="352">
        <v>125</v>
      </c>
      <c r="B131" s="350">
        <f t="shared" si="1"/>
        <v>0</v>
      </c>
      <c r="C131" s="364"/>
      <c r="D131" s="374"/>
      <c r="E131" s="365"/>
    </row>
    <row r="132" spans="1:5" ht="12.75" customHeight="1">
      <c r="A132" s="352">
        <v>126</v>
      </c>
      <c r="B132" s="350">
        <f t="shared" si="1"/>
        <v>0</v>
      </c>
      <c r="C132" s="364"/>
      <c r="D132" s="374"/>
      <c r="E132" s="365"/>
    </row>
    <row r="133" spans="1:5" ht="12.75" customHeight="1">
      <c r="A133" s="352">
        <v>127</v>
      </c>
      <c r="B133" s="350">
        <f t="shared" si="1"/>
        <v>0</v>
      </c>
      <c r="C133" s="364"/>
      <c r="D133" s="374"/>
      <c r="E133" s="365"/>
    </row>
    <row r="134" spans="1:5" ht="12.75" customHeight="1">
      <c r="A134" s="352">
        <v>128</v>
      </c>
      <c r="B134" s="350">
        <f t="shared" si="1"/>
        <v>0</v>
      </c>
      <c r="C134" s="364"/>
      <c r="D134" s="374"/>
      <c r="E134" s="365"/>
    </row>
    <row r="135" spans="1:5" ht="12.75" customHeight="1">
      <c r="A135" s="352">
        <v>129</v>
      </c>
      <c r="B135" s="350">
        <f t="shared" si="1"/>
        <v>0</v>
      </c>
      <c r="C135" s="364"/>
      <c r="D135" s="374"/>
      <c r="E135" s="365"/>
    </row>
    <row r="136" spans="1:5" ht="12.75" customHeight="1">
      <c r="A136" s="352">
        <v>130</v>
      </c>
      <c r="B136" s="350">
        <f aca="true" t="shared" si="2" ref="B136:B199">IF(F136&lt;&gt;"",F136,INDEX($C$7:$F$1003,A136,$C$2))</f>
        <v>0</v>
      </c>
      <c r="C136" s="364"/>
      <c r="D136" s="374"/>
      <c r="E136" s="365"/>
    </row>
    <row r="137" spans="1:5" ht="12.75" customHeight="1">
      <c r="A137" s="352">
        <v>131</v>
      </c>
      <c r="B137" s="350">
        <f t="shared" si="2"/>
        <v>0</v>
      </c>
      <c r="C137" s="364"/>
      <c r="D137" s="374"/>
      <c r="E137" s="365"/>
    </row>
    <row r="138" spans="1:5" ht="12.75" customHeight="1">
      <c r="A138" s="352">
        <v>132</v>
      </c>
      <c r="B138" s="350">
        <f t="shared" si="2"/>
        <v>0</v>
      </c>
      <c r="C138" s="364"/>
      <c r="D138" s="374"/>
      <c r="E138" s="365"/>
    </row>
    <row r="139" spans="1:5" ht="12.75" customHeight="1">
      <c r="A139" s="352">
        <v>133</v>
      </c>
      <c r="B139" s="350">
        <f t="shared" si="2"/>
        <v>0</v>
      </c>
      <c r="C139" s="364"/>
      <c r="D139" s="374"/>
      <c r="E139" s="365"/>
    </row>
    <row r="140" spans="1:5" ht="12.75" customHeight="1">
      <c r="A140" s="352">
        <v>134</v>
      </c>
      <c r="B140" s="350">
        <f t="shared" si="2"/>
        <v>0</v>
      </c>
      <c r="C140" s="364"/>
      <c r="D140" s="374"/>
      <c r="E140" s="365"/>
    </row>
    <row r="141" spans="1:5" ht="12.75" customHeight="1">
      <c r="A141" s="352">
        <v>135</v>
      </c>
      <c r="B141" s="350">
        <f t="shared" si="2"/>
        <v>0</v>
      </c>
      <c r="C141" s="364"/>
      <c r="D141" s="374"/>
      <c r="E141" s="365"/>
    </row>
    <row r="142" spans="1:5" ht="12.75" customHeight="1">
      <c r="A142" s="352">
        <v>136</v>
      </c>
      <c r="B142" s="350">
        <f t="shared" si="2"/>
        <v>0</v>
      </c>
      <c r="C142" s="364"/>
      <c r="D142" s="374"/>
      <c r="E142" s="365"/>
    </row>
    <row r="143" spans="1:5" ht="12.75" customHeight="1">
      <c r="A143" s="352">
        <v>137</v>
      </c>
      <c r="B143" s="350">
        <f t="shared" si="2"/>
        <v>0</v>
      </c>
      <c r="C143" s="364"/>
      <c r="D143" s="374"/>
      <c r="E143" s="365"/>
    </row>
    <row r="144" spans="1:5" ht="12.75" customHeight="1">
      <c r="A144" s="352">
        <v>138</v>
      </c>
      <c r="B144" s="350">
        <f t="shared" si="2"/>
        <v>0</v>
      </c>
      <c r="C144" s="364"/>
      <c r="D144" s="374"/>
      <c r="E144" s="365"/>
    </row>
    <row r="145" spans="1:5" ht="12.75" customHeight="1">
      <c r="A145" s="352">
        <v>139</v>
      </c>
      <c r="B145" s="350">
        <f t="shared" si="2"/>
        <v>0</v>
      </c>
      <c r="C145" s="364"/>
      <c r="D145" s="374"/>
      <c r="E145" s="365"/>
    </row>
    <row r="146" spans="1:5" ht="12.75" customHeight="1">
      <c r="A146" s="352">
        <v>140</v>
      </c>
      <c r="B146" s="350">
        <f t="shared" si="2"/>
        <v>0</v>
      </c>
      <c r="C146" s="364"/>
      <c r="D146" s="374"/>
      <c r="E146" s="365"/>
    </row>
    <row r="147" spans="1:5" ht="12.75" customHeight="1">
      <c r="A147" s="352">
        <v>141</v>
      </c>
      <c r="B147" s="350">
        <f t="shared" si="2"/>
        <v>0</v>
      </c>
      <c r="C147" s="364"/>
      <c r="D147" s="375"/>
      <c r="E147" s="365"/>
    </row>
    <row r="148" spans="1:5" ht="12.75" customHeight="1">
      <c r="A148" s="352">
        <v>142</v>
      </c>
      <c r="B148" s="350">
        <f t="shared" si="2"/>
        <v>0</v>
      </c>
      <c r="C148" s="364"/>
      <c r="D148" s="375"/>
      <c r="E148" s="365"/>
    </row>
    <row r="149" spans="1:5" ht="12.75" customHeight="1">
      <c r="A149" s="352">
        <v>143</v>
      </c>
      <c r="B149" s="350">
        <f t="shared" si="2"/>
        <v>0</v>
      </c>
      <c r="C149" s="364"/>
      <c r="D149" s="374"/>
      <c r="E149" s="365"/>
    </row>
    <row r="150" spans="1:5" ht="12.75" customHeight="1">
      <c r="A150" s="352">
        <v>144</v>
      </c>
      <c r="B150" s="350">
        <f t="shared" si="2"/>
        <v>0</v>
      </c>
      <c r="C150" s="364"/>
      <c r="D150" s="374"/>
      <c r="E150" s="365"/>
    </row>
    <row r="151" spans="1:5" ht="12.75" customHeight="1">
      <c r="A151" s="352">
        <v>145</v>
      </c>
      <c r="B151" s="350">
        <f t="shared" si="2"/>
        <v>0</v>
      </c>
      <c r="C151" s="364"/>
      <c r="D151" s="374"/>
      <c r="E151" s="365"/>
    </row>
    <row r="152" spans="1:5" ht="12.75" customHeight="1">
      <c r="A152" s="352">
        <v>146</v>
      </c>
      <c r="B152" s="350">
        <f t="shared" si="2"/>
        <v>0</v>
      </c>
      <c r="C152" s="364"/>
      <c r="D152" s="374"/>
      <c r="E152" s="365"/>
    </row>
    <row r="153" spans="1:5" ht="12.75" customHeight="1">
      <c r="A153" s="352">
        <v>147</v>
      </c>
      <c r="B153" s="350">
        <f t="shared" si="2"/>
        <v>0</v>
      </c>
      <c r="C153" s="364"/>
      <c r="D153" s="374"/>
      <c r="E153" s="365"/>
    </row>
    <row r="154" spans="1:5" ht="12.75" customHeight="1">
      <c r="A154" s="352">
        <v>148</v>
      </c>
      <c r="B154" s="350">
        <f t="shared" si="2"/>
        <v>0</v>
      </c>
      <c r="C154" s="364"/>
      <c r="D154" s="374"/>
      <c r="E154" s="365"/>
    </row>
    <row r="155" spans="1:5" ht="12.75" customHeight="1">
      <c r="A155" s="352">
        <v>149</v>
      </c>
      <c r="B155" s="350">
        <f t="shared" si="2"/>
        <v>0</v>
      </c>
      <c r="C155" s="364"/>
      <c r="D155" s="374"/>
      <c r="E155" s="365"/>
    </row>
    <row r="156" spans="1:5" ht="12.75" customHeight="1">
      <c r="A156" s="352">
        <v>150</v>
      </c>
      <c r="B156" s="350">
        <f t="shared" si="2"/>
        <v>0</v>
      </c>
      <c r="C156" s="364"/>
      <c r="D156" s="374"/>
      <c r="E156" s="365"/>
    </row>
    <row r="157" spans="1:5" ht="12.75" customHeight="1">
      <c r="A157" s="352">
        <v>151</v>
      </c>
      <c r="B157" s="350">
        <f t="shared" si="2"/>
        <v>0</v>
      </c>
      <c r="C157" s="364"/>
      <c r="D157" s="374"/>
      <c r="E157" s="365"/>
    </row>
    <row r="158" spans="1:5" ht="12.75" customHeight="1">
      <c r="A158" s="352">
        <v>152</v>
      </c>
      <c r="B158" s="350">
        <f t="shared" si="2"/>
        <v>0</v>
      </c>
      <c r="C158" s="364"/>
      <c r="D158" s="374"/>
      <c r="E158" s="365"/>
    </row>
    <row r="159" spans="1:5" ht="12.75" customHeight="1">
      <c r="A159" s="352">
        <v>153</v>
      </c>
      <c r="B159" s="350">
        <f t="shared" si="2"/>
        <v>0</v>
      </c>
      <c r="C159" s="367"/>
      <c r="D159" s="376"/>
      <c r="E159" s="378"/>
    </row>
    <row r="160" spans="1:5" ht="12.75" customHeight="1">
      <c r="A160" s="352">
        <v>154</v>
      </c>
      <c r="B160" s="350">
        <f t="shared" si="2"/>
        <v>0</v>
      </c>
      <c r="C160" s="367"/>
      <c r="D160" s="376"/>
      <c r="E160" s="378"/>
    </row>
    <row r="161" spans="1:5" ht="12.75" customHeight="1">
      <c r="A161" s="352">
        <v>155</v>
      </c>
      <c r="B161" s="350">
        <f t="shared" si="2"/>
        <v>0</v>
      </c>
      <c r="C161" s="364"/>
      <c r="D161" s="374"/>
      <c r="E161" s="365"/>
    </row>
    <row r="162" spans="1:5" ht="12.75" customHeight="1">
      <c r="A162" s="352">
        <v>156</v>
      </c>
      <c r="B162" s="350">
        <f t="shared" si="2"/>
        <v>0</v>
      </c>
      <c r="C162" s="364"/>
      <c r="D162" s="374"/>
      <c r="E162" s="365"/>
    </row>
    <row r="163" spans="1:5" ht="12.75" customHeight="1">
      <c r="A163" s="352">
        <v>157</v>
      </c>
      <c r="B163" s="350">
        <f t="shared" si="2"/>
        <v>0</v>
      </c>
      <c r="C163" s="364"/>
      <c r="D163" s="374"/>
      <c r="E163" s="365"/>
    </row>
    <row r="164" spans="1:5" ht="12.75" customHeight="1">
      <c r="A164" s="352">
        <v>158</v>
      </c>
      <c r="B164" s="350">
        <f t="shared" si="2"/>
        <v>0</v>
      </c>
      <c r="C164" s="364"/>
      <c r="D164" s="374"/>
      <c r="E164" s="365"/>
    </row>
    <row r="165" spans="1:5" ht="12.75" customHeight="1">
      <c r="A165" s="352">
        <v>159</v>
      </c>
      <c r="B165" s="350">
        <f t="shared" si="2"/>
        <v>0</v>
      </c>
      <c r="C165" s="364"/>
      <c r="D165" s="374"/>
      <c r="E165" s="365"/>
    </row>
    <row r="166" spans="1:5" ht="12.75" customHeight="1">
      <c r="A166" s="352">
        <v>160</v>
      </c>
      <c r="B166" s="350">
        <f t="shared" si="2"/>
        <v>0</v>
      </c>
      <c r="C166" s="364"/>
      <c r="D166" s="374"/>
      <c r="E166" s="365"/>
    </row>
    <row r="167" spans="1:5" ht="12.75" customHeight="1">
      <c r="A167" s="352">
        <v>161</v>
      </c>
      <c r="B167" s="350">
        <f t="shared" si="2"/>
        <v>0</v>
      </c>
      <c r="C167" s="364"/>
      <c r="D167" s="374"/>
      <c r="E167" s="365"/>
    </row>
    <row r="168" spans="1:5" ht="12.75" customHeight="1">
      <c r="A168" s="352">
        <v>162</v>
      </c>
      <c r="B168" s="350">
        <f t="shared" si="2"/>
        <v>0</v>
      </c>
      <c r="C168" s="364"/>
      <c r="D168" s="374"/>
      <c r="E168" s="365"/>
    </row>
    <row r="169" spans="1:5" ht="12.75" customHeight="1">
      <c r="A169" s="352">
        <v>163</v>
      </c>
      <c r="B169" s="350">
        <f t="shared" si="2"/>
        <v>0</v>
      </c>
      <c r="C169" s="364"/>
      <c r="D169" s="374"/>
      <c r="E169" s="365"/>
    </row>
    <row r="170" spans="1:5" ht="12.75" customHeight="1">
      <c r="A170" s="352">
        <v>164</v>
      </c>
      <c r="B170" s="350">
        <f t="shared" si="2"/>
        <v>0</v>
      </c>
      <c r="C170" s="364"/>
      <c r="D170" s="374"/>
      <c r="E170" s="365"/>
    </row>
    <row r="171" spans="1:5" ht="12.75" customHeight="1">
      <c r="A171" s="352">
        <v>165</v>
      </c>
      <c r="B171" s="350">
        <f t="shared" si="2"/>
        <v>0</v>
      </c>
      <c r="C171" s="364"/>
      <c r="D171" s="374"/>
      <c r="E171" s="365"/>
    </row>
    <row r="172" spans="1:5" ht="12.75" customHeight="1">
      <c r="A172" s="352">
        <v>166</v>
      </c>
      <c r="B172" s="350">
        <f t="shared" si="2"/>
        <v>0</v>
      </c>
      <c r="C172" s="364"/>
      <c r="D172" s="374"/>
      <c r="E172" s="365"/>
    </row>
    <row r="173" spans="1:5" ht="12.75" customHeight="1">
      <c r="A173" s="352">
        <v>167</v>
      </c>
      <c r="B173" s="350">
        <f t="shared" si="2"/>
        <v>0</v>
      </c>
      <c r="C173" s="364"/>
      <c r="D173" s="374"/>
      <c r="E173" s="365"/>
    </row>
    <row r="174" spans="1:5" ht="12.75" customHeight="1">
      <c r="A174" s="352">
        <v>168</v>
      </c>
      <c r="B174" s="350">
        <f t="shared" si="2"/>
        <v>0</v>
      </c>
      <c r="C174" s="364"/>
      <c r="D174" s="374"/>
      <c r="E174" s="365"/>
    </row>
    <row r="175" spans="1:5" ht="12.75" customHeight="1">
      <c r="A175" s="352">
        <v>169</v>
      </c>
      <c r="B175" s="350">
        <f t="shared" si="2"/>
        <v>0</v>
      </c>
      <c r="C175" s="364"/>
      <c r="D175" s="374"/>
      <c r="E175" s="365"/>
    </row>
    <row r="176" spans="1:5" ht="12.75" customHeight="1">
      <c r="A176" s="352">
        <v>170</v>
      </c>
      <c r="B176" s="350">
        <f t="shared" si="2"/>
        <v>0</v>
      </c>
      <c r="C176" s="364"/>
      <c r="D176" s="374"/>
      <c r="E176" s="365"/>
    </row>
    <row r="177" spans="1:5" ht="12.75" customHeight="1">
      <c r="A177" s="352">
        <v>171</v>
      </c>
      <c r="B177" s="350">
        <f t="shared" si="2"/>
        <v>0</v>
      </c>
      <c r="C177" s="364"/>
      <c r="D177" s="374"/>
      <c r="E177" s="365"/>
    </row>
    <row r="178" spans="1:5" ht="12.75" customHeight="1">
      <c r="A178" s="352">
        <v>172</v>
      </c>
      <c r="B178" s="350">
        <f t="shared" si="2"/>
        <v>0</v>
      </c>
      <c r="C178" s="364"/>
      <c r="D178" s="374"/>
      <c r="E178" s="365"/>
    </row>
    <row r="179" spans="1:5" ht="12.75" customHeight="1">
      <c r="A179" s="352">
        <v>173</v>
      </c>
      <c r="B179" s="350">
        <f t="shared" si="2"/>
        <v>0</v>
      </c>
      <c r="C179" s="364"/>
      <c r="D179" s="374"/>
      <c r="E179" s="365"/>
    </row>
    <row r="180" spans="1:5" ht="12.75" customHeight="1">
      <c r="A180" s="352">
        <v>174</v>
      </c>
      <c r="B180" s="350">
        <f t="shared" si="2"/>
        <v>0</v>
      </c>
      <c r="C180" s="364"/>
      <c r="D180" s="374"/>
      <c r="E180" s="365"/>
    </row>
    <row r="181" spans="1:5" ht="12.75" customHeight="1">
      <c r="A181" s="352">
        <v>175</v>
      </c>
      <c r="B181" s="350">
        <f t="shared" si="2"/>
        <v>0</v>
      </c>
      <c r="C181" s="364"/>
      <c r="D181" s="374"/>
      <c r="E181" s="365"/>
    </row>
    <row r="182" spans="1:5" ht="12.75" customHeight="1">
      <c r="A182" s="352">
        <v>176</v>
      </c>
      <c r="B182" s="350">
        <f t="shared" si="2"/>
        <v>0</v>
      </c>
      <c r="C182" s="364"/>
      <c r="D182" s="374"/>
      <c r="E182" s="365"/>
    </row>
    <row r="183" spans="1:5" ht="12.75" customHeight="1">
      <c r="A183" s="352">
        <v>177</v>
      </c>
      <c r="B183" s="350">
        <f t="shared" si="2"/>
        <v>0</v>
      </c>
      <c r="C183" s="364"/>
      <c r="D183" s="374"/>
      <c r="E183" s="365"/>
    </row>
    <row r="184" spans="1:5" ht="12.75" customHeight="1">
      <c r="A184" s="352">
        <v>178</v>
      </c>
      <c r="B184" s="350">
        <f t="shared" si="2"/>
        <v>0</v>
      </c>
      <c r="C184" s="364"/>
      <c r="D184" s="374"/>
      <c r="E184" s="365"/>
    </row>
    <row r="185" spans="1:5" ht="12.75" customHeight="1">
      <c r="A185" s="352">
        <v>179</v>
      </c>
      <c r="B185" s="350">
        <f t="shared" si="2"/>
        <v>0</v>
      </c>
      <c r="C185" s="364"/>
      <c r="D185" s="374"/>
      <c r="E185" s="365"/>
    </row>
    <row r="186" spans="1:5" ht="12.75" customHeight="1">
      <c r="A186" s="352">
        <v>180</v>
      </c>
      <c r="B186" s="350">
        <f t="shared" si="2"/>
        <v>0</v>
      </c>
      <c r="C186" s="364"/>
      <c r="D186" s="374"/>
      <c r="E186" s="365"/>
    </row>
    <row r="187" spans="1:5" ht="12.75" customHeight="1">
      <c r="A187" s="352">
        <v>181</v>
      </c>
      <c r="B187" s="350">
        <f t="shared" si="2"/>
        <v>0</v>
      </c>
      <c r="C187" s="364"/>
      <c r="D187" s="374"/>
      <c r="E187" s="365"/>
    </row>
    <row r="188" spans="1:5" ht="12.75" customHeight="1">
      <c r="A188" s="352">
        <v>182</v>
      </c>
      <c r="B188" s="350">
        <f t="shared" si="2"/>
        <v>0</v>
      </c>
      <c r="C188" s="364"/>
      <c r="D188" s="374"/>
      <c r="E188" s="365"/>
    </row>
    <row r="189" spans="1:5" ht="12.75" customHeight="1">
      <c r="A189" s="352">
        <v>183</v>
      </c>
      <c r="B189" s="350">
        <f t="shared" si="2"/>
        <v>0</v>
      </c>
      <c r="C189" s="364"/>
      <c r="D189" s="374"/>
      <c r="E189" s="365"/>
    </row>
    <row r="190" spans="1:5" ht="12.75" customHeight="1">
      <c r="A190" s="352">
        <v>184</v>
      </c>
      <c r="B190" s="350">
        <f t="shared" si="2"/>
        <v>0</v>
      </c>
      <c r="C190" s="364"/>
      <c r="D190" s="374"/>
      <c r="E190" s="365"/>
    </row>
    <row r="191" spans="1:5" ht="12.75" customHeight="1">
      <c r="A191" s="352">
        <v>185</v>
      </c>
      <c r="B191" s="350">
        <f t="shared" si="2"/>
        <v>0</v>
      </c>
      <c r="C191" s="364"/>
      <c r="D191" s="374"/>
      <c r="E191" s="365"/>
    </row>
    <row r="192" spans="1:5" ht="12.75" customHeight="1">
      <c r="A192" s="352">
        <v>186</v>
      </c>
      <c r="B192" s="350">
        <f t="shared" si="2"/>
        <v>0</v>
      </c>
      <c r="C192" s="364"/>
      <c r="D192" s="374"/>
      <c r="E192" s="365"/>
    </row>
    <row r="193" spans="1:5" ht="12.75" customHeight="1">
      <c r="A193" s="352">
        <v>187</v>
      </c>
      <c r="B193" s="350">
        <f t="shared" si="2"/>
        <v>0</v>
      </c>
      <c r="C193" s="364"/>
      <c r="D193" s="374"/>
      <c r="E193" s="365"/>
    </row>
    <row r="194" spans="1:5" ht="12.75" customHeight="1">
      <c r="A194" s="352">
        <v>188</v>
      </c>
      <c r="B194" s="350">
        <f t="shared" si="2"/>
        <v>0</v>
      </c>
      <c r="C194" s="364"/>
      <c r="D194" s="374"/>
      <c r="E194" s="365"/>
    </row>
    <row r="195" spans="1:5" ht="12.75" customHeight="1">
      <c r="A195" s="352">
        <v>189</v>
      </c>
      <c r="B195" s="350">
        <f t="shared" si="2"/>
        <v>0</v>
      </c>
      <c r="C195" s="364"/>
      <c r="D195" s="374"/>
      <c r="E195" s="365"/>
    </row>
    <row r="196" spans="1:5" ht="12.75" customHeight="1">
      <c r="A196" s="352">
        <v>190</v>
      </c>
      <c r="B196" s="350">
        <f t="shared" si="2"/>
        <v>0</v>
      </c>
      <c r="C196" s="364"/>
      <c r="D196" s="374"/>
      <c r="E196" s="365"/>
    </row>
    <row r="197" spans="1:5" ht="12.75" customHeight="1">
      <c r="A197" s="352">
        <v>191</v>
      </c>
      <c r="B197" s="350">
        <f t="shared" si="2"/>
        <v>0</v>
      </c>
      <c r="C197" s="364"/>
      <c r="D197" s="374"/>
      <c r="E197" s="365"/>
    </row>
    <row r="198" spans="1:5" ht="12.75" customHeight="1">
      <c r="A198" s="352">
        <v>192</v>
      </c>
      <c r="B198" s="350">
        <f t="shared" si="2"/>
        <v>0</v>
      </c>
      <c r="C198" s="364"/>
      <c r="D198" s="374"/>
      <c r="E198" s="365"/>
    </row>
    <row r="199" spans="1:5" ht="12.75" customHeight="1">
      <c r="A199" s="352">
        <v>193</v>
      </c>
      <c r="B199" s="350">
        <f t="shared" si="2"/>
        <v>0</v>
      </c>
      <c r="C199" s="364"/>
      <c r="D199" s="374"/>
      <c r="E199" s="365"/>
    </row>
    <row r="200" spans="1:5" ht="12.75" customHeight="1">
      <c r="A200" s="352">
        <v>194</v>
      </c>
      <c r="B200" s="350">
        <f>IF(F200&lt;&gt;"",F200,INDEX($C$7:$F$1003,A200,$C$2))</f>
        <v>0</v>
      </c>
      <c r="C200" s="364"/>
      <c r="D200" s="374"/>
      <c r="E200" s="365"/>
    </row>
    <row r="201" spans="1:5" ht="12.75" customHeight="1">
      <c r="A201" s="352">
        <v>195</v>
      </c>
      <c r="B201" s="350">
        <f>IF(F201&lt;&gt;"",F201,INDEX($C$7:$F$1003,A201,$C$2))</f>
        <v>0</v>
      </c>
      <c r="C201" s="364"/>
      <c r="D201" s="374"/>
      <c r="E201" s="365"/>
    </row>
    <row r="202" spans="1:5" ht="12.75" customHeight="1">
      <c r="A202" s="352">
        <v>196</v>
      </c>
      <c r="B202" s="350">
        <f>IF(F202&lt;&gt;"",F202,INDEX($C$7:$F$1003,A202,$C$2))</f>
        <v>0</v>
      </c>
      <c r="C202" s="364"/>
      <c r="D202" s="374"/>
      <c r="E202" s="365"/>
    </row>
    <row r="203" spans="1:5" ht="12.75" customHeight="1">
      <c r="A203" s="352">
        <v>197</v>
      </c>
      <c r="B203" s="350">
        <f aca="true" t="shared" si="3" ref="B203:B263">IF(F203&lt;&gt;"",F203,INDEX($C$7:$F$1003,A203,$C$2))</f>
        <v>0</v>
      </c>
      <c r="C203" s="364"/>
      <c r="D203" s="374"/>
      <c r="E203" s="365"/>
    </row>
    <row r="204" spans="1:5" ht="12.75" customHeight="1">
      <c r="A204" s="352">
        <v>198</v>
      </c>
      <c r="B204" s="350">
        <f t="shared" si="3"/>
        <v>0</v>
      </c>
      <c r="C204" s="368"/>
      <c r="D204" s="374"/>
      <c r="E204" s="365"/>
    </row>
    <row r="205" spans="1:5" ht="12.75" customHeight="1">
      <c r="A205" s="352">
        <v>199</v>
      </c>
      <c r="B205" s="350">
        <f t="shared" si="3"/>
        <v>0</v>
      </c>
      <c r="C205" s="364"/>
      <c r="D205" s="374"/>
      <c r="E205" s="365"/>
    </row>
    <row r="206" spans="1:5" ht="12.75" customHeight="1">
      <c r="A206" s="352">
        <v>200</v>
      </c>
      <c r="B206" s="350">
        <f t="shared" si="3"/>
        <v>0</v>
      </c>
      <c r="C206" s="364"/>
      <c r="D206" s="374"/>
      <c r="E206" s="365"/>
    </row>
    <row r="207" spans="1:5" ht="12.75" customHeight="1">
      <c r="A207" s="352">
        <v>201</v>
      </c>
      <c r="B207" s="350">
        <f t="shared" si="3"/>
        <v>0</v>
      </c>
      <c r="C207" s="364"/>
      <c r="D207" s="374"/>
      <c r="E207" s="365"/>
    </row>
    <row r="208" spans="1:5" ht="12.75" customHeight="1">
      <c r="A208" s="352">
        <v>202</v>
      </c>
      <c r="B208" s="350">
        <f t="shared" si="3"/>
        <v>0</v>
      </c>
      <c r="C208" s="364"/>
      <c r="D208" s="374"/>
      <c r="E208" s="365"/>
    </row>
    <row r="209" spans="1:5" ht="12.75" customHeight="1">
      <c r="A209" s="352">
        <v>203</v>
      </c>
      <c r="B209" s="350">
        <f t="shared" si="3"/>
        <v>0</v>
      </c>
      <c r="C209" s="364"/>
      <c r="D209" s="374"/>
      <c r="E209" s="365"/>
    </row>
    <row r="210" spans="1:5" ht="12.75" customHeight="1">
      <c r="A210" s="352">
        <v>204</v>
      </c>
      <c r="B210" s="350">
        <f t="shared" si="3"/>
        <v>0</v>
      </c>
      <c r="C210" s="364"/>
      <c r="D210" s="374"/>
      <c r="E210" s="365"/>
    </row>
    <row r="211" spans="1:5" ht="12.75" customHeight="1">
      <c r="A211" s="352">
        <v>205</v>
      </c>
      <c r="B211" s="350">
        <f t="shared" si="3"/>
        <v>0</v>
      </c>
      <c r="C211" s="364"/>
      <c r="D211" s="374"/>
      <c r="E211" s="365"/>
    </row>
    <row r="212" spans="1:5" ht="12.75" customHeight="1">
      <c r="A212" s="352">
        <v>206</v>
      </c>
      <c r="B212" s="350">
        <f t="shared" si="3"/>
        <v>0</v>
      </c>
      <c r="C212" s="364"/>
      <c r="D212" s="374"/>
      <c r="E212" s="365"/>
    </row>
    <row r="213" spans="1:5" ht="12.75" customHeight="1">
      <c r="A213" s="352">
        <v>207</v>
      </c>
      <c r="B213" s="350">
        <f t="shared" si="3"/>
        <v>0</v>
      </c>
      <c r="C213" s="364"/>
      <c r="D213" s="374"/>
      <c r="E213" s="365"/>
    </row>
    <row r="214" spans="1:5" ht="12.75" customHeight="1">
      <c r="A214" s="352">
        <v>208</v>
      </c>
      <c r="B214" s="350">
        <f t="shared" si="3"/>
        <v>0</v>
      </c>
      <c r="C214" s="364"/>
      <c r="D214" s="374"/>
      <c r="E214" s="365"/>
    </row>
    <row r="215" spans="1:5" ht="12.75" customHeight="1">
      <c r="A215" s="352">
        <v>209</v>
      </c>
      <c r="B215" s="350">
        <f t="shared" si="3"/>
        <v>0</v>
      </c>
      <c r="C215" s="364"/>
      <c r="D215" s="374"/>
      <c r="E215" s="365"/>
    </row>
    <row r="216" spans="1:5" ht="12.75" customHeight="1">
      <c r="A216" s="352">
        <v>210</v>
      </c>
      <c r="B216" s="350">
        <f t="shared" si="3"/>
        <v>0</v>
      </c>
      <c r="C216" s="364"/>
      <c r="D216" s="374"/>
      <c r="E216" s="365"/>
    </row>
    <row r="217" spans="1:5" ht="12.75" customHeight="1">
      <c r="A217" s="352">
        <v>211</v>
      </c>
      <c r="B217" s="350">
        <f t="shared" si="3"/>
        <v>0</v>
      </c>
      <c r="C217" s="364"/>
      <c r="D217" s="374"/>
      <c r="E217" s="365"/>
    </row>
    <row r="218" spans="1:5" ht="12.75" customHeight="1">
      <c r="A218" s="352">
        <v>212</v>
      </c>
      <c r="B218" s="350">
        <f t="shared" si="3"/>
        <v>0</v>
      </c>
      <c r="C218" s="364"/>
      <c r="D218" s="374"/>
      <c r="E218" s="365"/>
    </row>
    <row r="219" spans="1:5" ht="12.75" customHeight="1">
      <c r="A219" s="352">
        <v>213</v>
      </c>
      <c r="B219" s="350">
        <f t="shared" si="3"/>
        <v>0</v>
      </c>
      <c r="C219" s="364"/>
      <c r="D219" s="374"/>
      <c r="E219" s="365"/>
    </row>
    <row r="220" spans="1:5" ht="12.75" customHeight="1">
      <c r="A220" s="352">
        <v>214</v>
      </c>
      <c r="B220" s="350">
        <f t="shared" si="3"/>
        <v>0</v>
      </c>
      <c r="C220" s="364"/>
      <c r="D220" s="374"/>
      <c r="E220" s="365"/>
    </row>
    <row r="221" spans="1:5" ht="12.75" customHeight="1">
      <c r="A221" s="352">
        <v>215</v>
      </c>
      <c r="B221" s="350">
        <f t="shared" si="3"/>
        <v>0</v>
      </c>
      <c r="C221" s="364"/>
      <c r="D221" s="374"/>
      <c r="E221" s="365"/>
    </row>
    <row r="222" spans="1:5" ht="12.75" customHeight="1">
      <c r="A222" s="352">
        <v>216</v>
      </c>
      <c r="B222" s="350">
        <f t="shared" si="3"/>
        <v>0</v>
      </c>
      <c r="C222" s="364"/>
      <c r="D222" s="374"/>
      <c r="E222" s="365"/>
    </row>
    <row r="223" spans="1:5" ht="12.75" customHeight="1">
      <c r="A223" s="352">
        <v>217</v>
      </c>
      <c r="B223" s="350">
        <f t="shared" si="3"/>
        <v>0</v>
      </c>
      <c r="C223" s="364"/>
      <c r="D223" s="374"/>
      <c r="E223" s="365"/>
    </row>
    <row r="224" spans="1:5" ht="12.75" customHeight="1">
      <c r="A224" s="352">
        <v>218</v>
      </c>
      <c r="B224" s="350">
        <f t="shared" si="3"/>
        <v>0</v>
      </c>
      <c r="C224" s="364"/>
      <c r="D224" s="374"/>
      <c r="E224" s="365"/>
    </row>
    <row r="225" spans="1:5" ht="12.75" customHeight="1">
      <c r="A225" s="352">
        <v>219</v>
      </c>
      <c r="B225" s="350">
        <f t="shared" si="3"/>
        <v>0</v>
      </c>
      <c r="C225" s="364"/>
      <c r="D225" s="374"/>
      <c r="E225" s="365"/>
    </row>
    <row r="226" spans="1:5" ht="12.75" customHeight="1">
      <c r="A226" s="352">
        <v>220</v>
      </c>
      <c r="B226" s="350">
        <f t="shared" si="3"/>
        <v>0</v>
      </c>
      <c r="C226" s="364"/>
      <c r="D226" s="374"/>
      <c r="E226" s="365"/>
    </row>
    <row r="227" spans="1:5" ht="12.75" customHeight="1">
      <c r="A227" s="352">
        <v>221</v>
      </c>
      <c r="B227" s="350">
        <f t="shared" si="3"/>
        <v>0</v>
      </c>
      <c r="C227" s="364"/>
      <c r="D227" s="374"/>
      <c r="E227" s="365"/>
    </row>
    <row r="228" spans="1:5" ht="12.75" customHeight="1">
      <c r="A228" s="352">
        <v>222</v>
      </c>
      <c r="B228" s="350">
        <f t="shared" si="3"/>
        <v>0</v>
      </c>
      <c r="C228" s="364"/>
      <c r="D228" s="374"/>
      <c r="E228" s="365"/>
    </row>
    <row r="229" spans="1:5" ht="12.75" customHeight="1">
      <c r="A229" s="352">
        <v>223</v>
      </c>
      <c r="B229" s="350">
        <f t="shared" si="3"/>
        <v>0</v>
      </c>
      <c r="C229" s="364"/>
      <c r="D229" s="374"/>
      <c r="E229" s="365"/>
    </row>
    <row r="230" spans="1:5" ht="12.75" customHeight="1">
      <c r="A230" s="352">
        <v>224</v>
      </c>
      <c r="B230" s="350">
        <f t="shared" si="3"/>
        <v>0</v>
      </c>
      <c r="C230" s="364"/>
      <c r="D230" s="374"/>
      <c r="E230" s="365"/>
    </row>
    <row r="231" spans="1:5" ht="12.75" customHeight="1">
      <c r="A231" s="352">
        <v>225</v>
      </c>
      <c r="B231" s="350">
        <f t="shared" si="3"/>
        <v>0</v>
      </c>
      <c r="C231" s="364"/>
      <c r="D231" s="374"/>
      <c r="E231" s="365"/>
    </row>
    <row r="232" spans="1:5" ht="12.75" customHeight="1">
      <c r="A232" s="352">
        <v>226</v>
      </c>
      <c r="B232" s="350">
        <f t="shared" si="3"/>
        <v>0</v>
      </c>
      <c r="C232" s="364"/>
      <c r="D232" s="374"/>
      <c r="E232" s="365"/>
    </row>
    <row r="233" spans="1:5" ht="12.75" customHeight="1">
      <c r="A233" s="352">
        <v>227</v>
      </c>
      <c r="B233" s="350">
        <f t="shared" si="3"/>
        <v>0</v>
      </c>
      <c r="C233" s="364"/>
      <c r="D233" s="374"/>
      <c r="E233" s="365"/>
    </row>
    <row r="234" spans="1:5" ht="12.75" customHeight="1">
      <c r="A234" s="352">
        <v>228</v>
      </c>
      <c r="B234" s="350">
        <f t="shared" si="3"/>
        <v>0</v>
      </c>
      <c r="C234" s="364"/>
      <c r="D234" s="374"/>
      <c r="E234" s="365"/>
    </row>
    <row r="235" spans="1:5" ht="12.75" customHeight="1">
      <c r="A235" s="352">
        <v>229</v>
      </c>
      <c r="B235" s="350">
        <f t="shared" si="3"/>
        <v>0</v>
      </c>
      <c r="C235" s="364"/>
      <c r="D235" s="374"/>
      <c r="E235" s="365"/>
    </row>
    <row r="236" spans="1:5" ht="12.75" customHeight="1">
      <c r="A236" s="352">
        <v>230</v>
      </c>
      <c r="B236" s="350">
        <f t="shared" si="3"/>
        <v>0</v>
      </c>
      <c r="C236" s="364"/>
      <c r="D236" s="374"/>
      <c r="E236" s="365"/>
    </row>
    <row r="237" spans="1:5" ht="12.75" customHeight="1">
      <c r="A237" s="352">
        <v>231</v>
      </c>
      <c r="B237" s="350">
        <f t="shared" si="3"/>
        <v>0</v>
      </c>
      <c r="C237" s="364"/>
      <c r="D237" s="374"/>
      <c r="E237" s="365"/>
    </row>
    <row r="238" spans="1:5" ht="12.75" customHeight="1">
      <c r="A238" s="352">
        <v>232</v>
      </c>
      <c r="B238" s="350">
        <f t="shared" si="3"/>
        <v>0</v>
      </c>
      <c r="C238" s="364"/>
      <c r="D238" s="374"/>
      <c r="E238" s="365"/>
    </row>
    <row r="239" spans="1:5" ht="12.75" customHeight="1">
      <c r="A239" s="352">
        <v>233</v>
      </c>
      <c r="B239" s="350">
        <f t="shared" si="3"/>
        <v>0</v>
      </c>
      <c r="C239" s="364"/>
      <c r="D239" s="374"/>
      <c r="E239" s="365"/>
    </row>
    <row r="240" spans="1:5" ht="12.75" customHeight="1">
      <c r="A240" s="352">
        <v>234</v>
      </c>
      <c r="B240" s="350">
        <f t="shared" si="3"/>
        <v>0</v>
      </c>
      <c r="C240" s="364"/>
      <c r="D240" s="374"/>
      <c r="E240" s="365"/>
    </row>
    <row r="241" spans="1:5" ht="12.75" customHeight="1">
      <c r="A241" s="352">
        <v>235</v>
      </c>
      <c r="B241" s="350">
        <f t="shared" si="3"/>
        <v>0</v>
      </c>
      <c r="C241" s="364"/>
      <c r="D241" s="374"/>
      <c r="E241" s="365"/>
    </row>
    <row r="242" spans="1:5" ht="12.75" customHeight="1">
      <c r="A242" s="352">
        <v>236</v>
      </c>
      <c r="B242" s="350">
        <f t="shared" si="3"/>
        <v>0</v>
      </c>
      <c r="C242" s="364"/>
      <c r="D242" s="374"/>
      <c r="E242" s="365"/>
    </row>
    <row r="243" spans="1:5" ht="12.75" customHeight="1">
      <c r="A243" s="352">
        <v>237</v>
      </c>
      <c r="B243" s="350">
        <f t="shared" si="3"/>
        <v>0</v>
      </c>
      <c r="C243" s="364"/>
      <c r="D243" s="374"/>
      <c r="E243" s="365"/>
    </row>
    <row r="244" spans="1:5" ht="12.75" customHeight="1">
      <c r="A244" s="352">
        <v>238</v>
      </c>
      <c r="B244" s="350">
        <f t="shared" si="3"/>
        <v>0</v>
      </c>
      <c r="C244" s="364"/>
      <c r="D244" s="374"/>
      <c r="E244" s="365"/>
    </row>
    <row r="245" spans="1:5" ht="12.75" customHeight="1">
      <c r="A245" s="352">
        <v>239</v>
      </c>
      <c r="B245" s="350">
        <f t="shared" si="3"/>
        <v>0</v>
      </c>
      <c r="C245" s="364"/>
      <c r="D245" s="374"/>
      <c r="E245" s="365"/>
    </row>
    <row r="246" spans="1:5" ht="12.75" customHeight="1">
      <c r="A246" s="352">
        <v>240</v>
      </c>
      <c r="B246" s="350">
        <f t="shared" si="3"/>
        <v>0</v>
      </c>
      <c r="C246" s="364"/>
      <c r="D246" s="374"/>
      <c r="E246" s="365"/>
    </row>
    <row r="247" spans="1:5" ht="12.75" customHeight="1">
      <c r="A247" s="352">
        <v>241</v>
      </c>
      <c r="B247" s="350">
        <f t="shared" si="3"/>
        <v>0</v>
      </c>
      <c r="C247" s="364"/>
      <c r="D247" s="374"/>
      <c r="E247" s="365"/>
    </row>
    <row r="248" spans="1:5" ht="12.75" customHeight="1">
      <c r="A248" s="352">
        <v>242</v>
      </c>
      <c r="B248" s="350">
        <f t="shared" si="3"/>
        <v>0</v>
      </c>
      <c r="C248" s="364"/>
      <c r="D248" s="374"/>
      <c r="E248" s="365"/>
    </row>
    <row r="249" spans="1:5" ht="12.75" customHeight="1">
      <c r="A249" s="352">
        <v>243</v>
      </c>
      <c r="B249" s="350">
        <f t="shared" si="3"/>
        <v>0</v>
      </c>
      <c r="C249" s="364"/>
      <c r="D249" s="374"/>
      <c r="E249" s="365"/>
    </row>
    <row r="250" spans="1:5" ht="12.75" customHeight="1">
      <c r="A250" s="352">
        <v>244</v>
      </c>
      <c r="B250" s="350">
        <f t="shared" si="3"/>
        <v>0</v>
      </c>
      <c r="C250" s="364"/>
      <c r="D250" s="374"/>
      <c r="E250" s="365"/>
    </row>
    <row r="251" spans="1:5" ht="12.75" customHeight="1">
      <c r="A251" s="352">
        <v>245</v>
      </c>
      <c r="B251" s="350">
        <f t="shared" si="3"/>
        <v>0</v>
      </c>
      <c r="C251" s="364"/>
      <c r="D251" s="374"/>
      <c r="E251" s="365"/>
    </row>
    <row r="252" spans="1:5" ht="12.75" customHeight="1">
      <c r="A252" s="352">
        <v>246</v>
      </c>
      <c r="B252" s="350">
        <f t="shared" si="3"/>
        <v>0</v>
      </c>
      <c r="C252" s="364"/>
      <c r="D252" s="374"/>
      <c r="E252" s="365"/>
    </row>
    <row r="253" spans="1:5" ht="12.75" customHeight="1">
      <c r="A253" s="352">
        <v>247</v>
      </c>
      <c r="B253" s="350">
        <f t="shared" si="3"/>
        <v>0</v>
      </c>
      <c r="C253" s="364"/>
      <c r="D253" s="374"/>
      <c r="E253" s="365"/>
    </row>
    <row r="254" spans="1:5" ht="12.75" customHeight="1">
      <c r="A254" s="352">
        <v>248</v>
      </c>
      <c r="B254" s="350">
        <f t="shared" si="3"/>
        <v>0</v>
      </c>
      <c r="C254" s="364"/>
      <c r="D254" s="374"/>
      <c r="E254" s="365"/>
    </row>
    <row r="255" spans="1:5" ht="12.75" customHeight="1">
      <c r="A255" s="352">
        <v>249</v>
      </c>
      <c r="B255" s="350">
        <f t="shared" si="3"/>
        <v>0</v>
      </c>
      <c r="C255" s="364"/>
      <c r="D255" s="374"/>
      <c r="E255" s="365"/>
    </row>
    <row r="256" spans="1:5" ht="12.75" customHeight="1">
      <c r="A256" s="352">
        <v>250</v>
      </c>
      <c r="B256" s="350">
        <f t="shared" si="3"/>
        <v>0</v>
      </c>
      <c r="C256" s="364"/>
      <c r="D256" s="374"/>
      <c r="E256" s="365"/>
    </row>
    <row r="257" spans="1:5" ht="12.75" customHeight="1">
      <c r="A257" s="352">
        <v>251</v>
      </c>
      <c r="B257" s="350">
        <f t="shared" si="3"/>
        <v>0</v>
      </c>
      <c r="C257" s="364"/>
      <c r="D257" s="374"/>
      <c r="E257" s="365"/>
    </row>
    <row r="258" spans="1:5" ht="12.75" customHeight="1">
      <c r="A258" s="352">
        <v>252</v>
      </c>
      <c r="B258" s="350">
        <f t="shared" si="3"/>
        <v>0</v>
      </c>
      <c r="C258" s="364"/>
      <c r="D258" s="374"/>
      <c r="E258" s="365"/>
    </row>
    <row r="259" spans="1:5" ht="12.75" customHeight="1">
      <c r="A259" s="352">
        <v>253</v>
      </c>
      <c r="B259" s="350">
        <f t="shared" si="3"/>
        <v>0</v>
      </c>
      <c r="C259" s="364"/>
      <c r="D259" s="374"/>
      <c r="E259" s="365"/>
    </row>
    <row r="260" spans="1:5" ht="12.75" customHeight="1">
      <c r="A260" s="352">
        <v>254</v>
      </c>
      <c r="B260" s="350">
        <f t="shared" si="3"/>
        <v>0</v>
      </c>
      <c r="C260" s="364"/>
      <c r="D260" s="374"/>
      <c r="E260" s="365"/>
    </row>
    <row r="261" spans="1:5" ht="12.75" customHeight="1">
      <c r="A261" s="352">
        <v>255</v>
      </c>
      <c r="B261" s="350">
        <f t="shared" si="3"/>
        <v>0</v>
      </c>
      <c r="C261" s="364"/>
      <c r="D261" s="374"/>
      <c r="E261" s="365"/>
    </row>
    <row r="262" spans="1:5" ht="12.75" customHeight="1">
      <c r="A262" s="352">
        <v>256</v>
      </c>
      <c r="B262" s="350">
        <f t="shared" si="3"/>
        <v>0</v>
      </c>
      <c r="C262" s="364"/>
      <c r="D262" s="374"/>
      <c r="E262" s="365"/>
    </row>
    <row r="263" spans="1:5" ht="12.75" customHeight="1">
      <c r="A263" s="352">
        <v>257</v>
      </c>
      <c r="B263" s="350">
        <f t="shared" si="3"/>
        <v>0</v>
      </c>
      <c r="C263" s="364"/>
      <c r="D263" s="374"/>
      <c r="E263" s="365"/>
    </row>
    <row r="264" spans="1:5" ht="12.75" customHeight="1">
      <c r="A264" s="352">
        <v>258</v>
      </c>
      <c r="B264" s="350">
        <f aca="true" t="shared" si="4" ref="B264:B327">IF(F264&lt;&gt;"",F264,INDEX($C$7:$F$1003,A264,$C$2))</f>
        <v>0</v>
      </c>
      <c r="C264" s="364"/>
      <c r="D264" s="374"/>
      <c r="E264" s="365"/>
    </row>
    <row r="265" spans="1:5" ht="12.75" customHeight="1">
      <c r="A265" s="352">
        <v>259</v>
      </c>
      <c r="B265" s="350">
        <f t="shared" si="4"/>
        <v>0</v>
      </c>
      <c r="C265" s="364"/>
      <c r="D265" s="374"/>
      <c r="E265" s="365"/>
    </row>
    <row r="266" spans="1:5" ht="12.75" customHeight="1">
      <c r="A266" s="352">
        <v>260</v>
      </c>
      <c r="B266" s="350">
        <f t="shared" si="4"/>
        <v>0</v>
      </c>
      <c r="C266" s="364"/>
      <c r="D266" s="374"/>
      <c r="E266" s="365"/>
    </row>
    <row r="267" spans="1:5" ht="12.75" customHeight="1">
      <c r="A267" s="352">
        <v>261</v>
      </c>
      <c r="B267" s="350">
        <f t="shared" si="4"/>
        <v>0</v>
      </c>
      <c r="C267" s="364"/>
      <c r="D267" s="374"/>
      <c r="E267" s="365"/>
    </row>
    <row r="268" spans="1:5" ht="12.75" customHeight="1">
      <c r="A268" s="352">
        <v>262</v>
      </c>
      <c r="B268" s="350">
        <f t="shared" si="4"/>
        <v>0</v>
      </c>
      <c r="C268" s="364"/>
      <c r="D268" s="374"/>
      <c r="E268" s="365"/>
    </row>
    <row r="269" spans="1:5" ht="12.75" customHeight="1">
      <c r="A269" s="352">
        <v>263</v>
      </c>
      <c r="B269" s="350">
        <f t="shared" si="4"/>
        <v>0</v>
      </c>
      <c r="C269" s="364"/>
      <c r="D269" s="374"/>
      <c r="E269" s="365"/>
    </row>
    <row r="270" spans="1:5" ht="12.75" customHeight="1">
      <c r="A270" s="352">
        <v>264</v>
      </c>
      <c r="B270" s="350">
        <f t="shared" si="4"/>
        <v>0</v>
      </c>
      <c r="C270" s="364"/>
      <c r="D270" s="374"/>
      <c r="E270" s="365"/>
    </row>
    <row r="271" spans="1:5" ht="12.75" customHeight="1">
      <c r="A271" s="352">
        <v>265</v>
      </c>
      <c r="B271" s="350">
        <f t="shared" si="4"/>
        <v>0</v>
      </c>
      <c r="C271" s="364"/>
      <c r="D271" s="374"/>
      <c r="E271" s="365"/>
    </row>
    <row r="272" spans="1:5" ht="12.75">
      <c r="A272" s="352">
        <v>266</v>
      </c>
      <c r="B272" s="350">
        <f t="shared" si="4"/>
        <v>0</v>
      </c>
      <c r="C272" s="364"/>
      <c r="D272" s="374"/>
      <c r="E272" s="365"/>
    </row>
    <row r="273" spans="1:5" ht="12.75">
      <c r="A273" s="352">
        <v>267</v>
      </c>
      <c r="B273" s="350">
        <f t="shared" si="4"/>
        <v>0</v>
      </c>
      <c r="C273" s="364"/>
      <c r="D273" s="374"/>
      <c r="E273" s="365"/>
    </row>
    <row r="274" spans="1:5" ht="15.75">
      <c r="A274" s="352">
        <v>268</v>
      </c>
      <c r="B274" s="350" t="str">
        <f t="shared" si="4"/>
        <v>Blatt EN-1c</v>
      </c>
      <c r="C274" s="368" t="s">
        <v>310</v>
      </c>
      <c r="D274" s="374"/>
      <c r="E274" s="365"/>
    </row>
    <row r="275" spans="1:5" ht="12.75">
      <c r="A275" s="352">
        <v>269</v>
      </c>
      <c r="B275" s="350" t="str">
        <f t="shared" si="4"/>
        <v>EN-1c</v>
      </c>
      <c r="C275" s="364" t="s">
        <v>829</v>
      </c>
      <c r="D275" s="374" t="s">
        <v>829</v>
      </c>
      <c r="E275" s="365" t="s">
        <v>829</v>
      </c>
    </row>
    <row r="276" spans="1:5" ht="12.75">
      <c r="A276" s="352">
        <v>270</v>
      </c>
      <c r="B276" s="350" t="str">
        <f t="shared" si="4"/>
        <v>Energienachweis</v>
      </c>
      <c r="C276" s="364" t="s">
        <v>143</v>
      </c>
      <c r="D276" s="374" t="s">
        <v>650</v>
      </c>
      <c r="E276" s="365" t="s">
        <v>270</v>
      </c>
    </row>
    <row r="277" spans="1:5" ht="24">
      <c r="A277" s="352">
        <v>271</v>
      </c>
      <c r="B277" s="350" t="str">
        <f t="shared" si="4"/>
        <v>Höchstanteil</v>
      </c>
      <c r="C277" s="364" t="s">
        <v>408</v>
      </c>
      <c r="D277" s="374" t="s">
        <v>651</v>
      </c>
      <c r="E277" s="365" t="s">
        <v>271</v>
      </c>
    </row>
    <row r="278" spans="1:5" ht="12.75">
      <c r="A278" s="352">
        <v>272</v>
      </c>
      <c r="B278" s="350" t="str">
        <f t="shared" si="4"/>
        <v>Rechnerische Lösung (calc)</v>
      </c>
      <c r="C278" s="364" t="s">
        <v>831</v>
      </c>
      <c r="D278" s="374" t="s">
        <v>652</v>
      </c>
      <c r="E278" s="365" t="s">
        <v>272</v>
      </c>
    </row>
    <row r="279" spans="1:5" ht="12.75">
      <c r="A279" s="352">
        <v>273</v>
      </c>
      <c r="B279" s="350" t="str">
        <f t="shared" si="4"/>
        <v>Bauvorhaben:</v>
      </c>
      <c r="C279" s="364" t="s">
        <v>145</v>
      </c>
      <c r="D279" s="374" t="s">
        <v>648</v>
      </c>
      <c r="E279" s="365" t="s">
        <v>656</v>
      </c>
    </row>
    <row r="280" spans="1:5" ht="12.75">
      <c r="A280" s="352">
        <v>274</v>
      </c>
      <c r="B280" s="350" t="str">
        <f t="shared" si="4"/>
        <v>Gemeinde:</v>
      </c>
      <c r="C280" s="364" t="s">
        <v>144</v>
      </c>
      <c r="D280" s="374" t="s">
        <v>649</v>
      </c>
      <c r="E280" s="365" t="s">
        <v>273</v>
      </c>
    </row>
    <row r="281" spans="1:5" ht="12.75">
      <c r="A281" s="352">
        <v>275</v>
      </c>
      <c r="B281" s="350" t="str">
        <f t="shared" si="4"/>
        <v>Parz.-Nr.:</v>
      </c>
      <c r="C281" s="364" t="s">
        <v>146</v>
      </c>
      <c r="D281" s="374" t="s">
        <v>653</v>
      </c>
      <c r="E281" s="365" t="s">
        <v>274</v>
      </c>
    </row>
    <row r="282" spans="1:5" ht="12.75">
      <c r="A282" s="352">
        <v>276</v>
      </c>
      <c r="B282" s="350" t="str">
        <f t="shared" si="4"/>
        <v>Geb.-Nr.:</v>
      </c>
      <c r="C282" s="364" t="s">
        <v>147</v>
      </c>
      <c r="D282" s="374" t="s">
        <v>654</v>
      </c>
      <c r="E282" s="365" t="s">
        <v>275</v>
      </c>
    </row>
    <row r="283" spans="1:5" ht="12.75">
      <c r="A283" s="352">
        <v>277</v>
      </c>
      <c r="B283" s="350" t="str">
        <f t="shared" si="4"/>
        <v>Befreiung bei Anbauten</v>
      </c>
      <c r="C283" s="364" t="s">
        <v>148</v>
      </c>
      <c r="D283" s="374" t="s">
        <v>655</v>
      </c>
      <c r="E283" s="365" t="s">
        <v>276</v>
      </c>
    </row>
    <row r="284" spans="1:5" ht="12.75" customHeight="1">
      <c r="A284" s="352">
        <v>278</v>
      </c>
      <c r="B284" s="350" t="str">
        <f t="shared" si="4"/>
        <v>      Von den Anforderungen an den Höchstanteil befreiter Anbau  (Erweiterung, Aufstockung)</v>
      </c>
      <c r="C284" s="364" t="s">
        <v>778</v>
      </c>
      <c r="D284" s="374" t="s">
        <v>323</v>
      </c>
      <c r="E284" s="365" t="s">
        <v>988</v>
      </c>
    </row>
    <row r="285" spans="1:5" ht="12.75">
      <c r="A285" s="352">
        <v>279</v>
      </c>
      <c r="B285" s="350" t="str">
        <f t="shared" si="4"/>
        <v>EBF neu: </v>
      </c>
      <c r="C285" s="364" t="s">
        <v>325</v>
      </c>
      <c r="D285" s="374" t="s">
        <v>326</v>
      </c>
      <c r="E285" s="365" t="s">
        <v>277</v>
      </c>
    </row>
    <row r="286" spans="1:5" ht="12.75">
      <c r="A286" s="352">
        <v>280</v>
      </c>
      <c r="B286" s="350" t="str">
        <f t="shared" si="4"/>
        <v>EBF bestehend: </v>
      </c>
      <c r="C286" s="364" t="s">
        <v>327</v>
      </c>
      <c r="D286" s="374" t="s">
        <v>328</v>
      </c>
      <c r="E286" s="365" t="s">
        <v>278</v>
      </c>
    </row>
    <row r="287" spans="1:5" ht="12.75">
      <c r="A287" s="352">
        <v>281</v>
      </c>
      <c r="B287" s="350" t="str">
        <f t="shared" si="4"/>
        <v>Anteil: </v>
      </c>
      <c r="C287" s="364" t="s">
        <v>329</v>
      </c>
      <c r="D287" s="374" t="s">
        <v>330</v>
      </c>
      <c r="E287" s="365" t="s">
        <v>279</v>
      </c>
    </row>
    <row r="288" spans="1:5" ht="12.75">
      <c r="A288" s="352">
        <v>282</v>
      </c>
      <c r="B288" s="350" t="str">
        <f t="shared" si="4"/>
        <v>Wärmedämmung</v>
      </c>
      <c r="C288" s="364" t="s">
        <v>331</v>
      </c>
      <c r="D288" s="374" t="s">
        <v>332</v>
      </c>
      <c r="E288" s="365" t="s">
        <v>280</v>
      </c>
    </row>
    <row r="289" spans="1:5" ht="12.75">
      <c r="A289" s="352">
        <v>283</v>
      </c>
      <c r="B289" s="350" t="str">
        <f t="shared" si="4"/>
        <v>Heizung</v>
      </c>
      <c r="C289" s="364" t="s">
        <v>431</v>
      </c>
      <c r="D289" s="374" t="s">
        <v>639</v>
      </c>
      <c r="E289" s="365" t="s">
        <v>161</v>
      </c>
    </row>
    <row r="290" spans="1:5" ht="12.75">
      <c r="A290" s="352">
        <v>284</v>
      </c>
      <c r="B290" s="350" t="str">
        <f t="shared" si="4"/>
        <v>Lüftung</v>
      </c>
      <c r="C290" s="364" t="s">
        <v>780</v>
      </c>
      <c r="D290" s="374" t="s">
        <v>333</v>
      </c>
      <c r="E290" s="365" t="s">
        <v>281</v>
      </c>
    </row>
    <row r="291" spans="1:5" ht="12.75">
      <c r="A291" s="352">
        <v>285</v>
      </c>
      <c r="B291" s="350" t="str">
        <f t="shared" si="4"/>
        <v> Rechnerische Lösung</v>
      </c>
      <c r="C291" s="364" t="s">
        <v>817</v>
      </c>
      <c r="D291" s="374" t="s">
        <v>334</v>
      </c>
      <c r="E291" s="365" t="s">
        <v>272</v>
      </c>
    </row>
    <row r="292" spans="1:5" ht="12.75" customHeight="1">
      <c r="A292" s="352">
        <v>286</v>
      </c>
      <c r="B292" s="350" t="str">
        <f t="shared" si="4"/>
        <v> Rechnerischer Nachweis mit der Excel-Datei «Rechnach.xls».</v>
      </c>
      <c r="C292" s="364" t="s">
        <v>830</v>
      </c>
      <c r="D292" s="374" t="s">
        <v>238</v>
      </c>
      <c r="E292" s="365" t="s">
        <v>282</v>
      </c>
    </row>
    <row r="293" spans="1:5" ht="12.75" customHeight="1">
      <c r="A293" s="352">
        <v>287</v>
      </c>
      <c r="B293" s="350" t="str">
        <f t="shared" si="4"/>
        <v> Zulässiger Wärmebedarf Heizung und Warmwasser:</v>
      </c>
      <c r="C293" s="364" t="s">
        <v>781</v>
      </c>
      <c r="D293" s="374" t="s">
        <v>335</v>
      </c>
      <c r="E293" s="365" t="s">
        <v>283</v>
      </c>
    </row>
    <row r="294" spans="1:5" ht="23.25" customHeight="1">
      <c r="A294" s="352">
        <v>288</v>
      </c>
      <c r="B294" s="350" t="str">
        <f t="shared" si="4"/>
        <v> Grenzwert</v>
      </c>
      <c r="C294" s="364" t="s">
        <v>782</v>
      </c>
      <c r="D294" s="374" t="s">
        <v>336</v>
      </c>
      <c r="E294" s="365" t="s">
        <v>284</v>
      </c>
    </row>
    <row r="295" spans="1:5" ht="24">
      <c r="A295" s="352">
        <v>289</v>
      </c>
      <c r="B295" s="350" t="str">
        <f t="shared" si="4"/>
        <v> Heizwärmebedarf</v>
      </c>
      <c r="C295" s="364" t="s">
        <v>783</v>
      </c>
      <c r="D295" s="374" t="s">
        <v>337</v>
      </c>
      <c r="E295" s="365" t="s">
        <v>234</v>
      </c>
    </row>
    <row r="296" spans="1:5" ht="24">
      <c r="A296" s="352">
        <v>290</v>
      </c>
      <c r="B296" s="350" t="str">
        <f t="shared" si="4"/>
        <v> Wärmebedarf Warmwasser</v>
      </c>
      <c r="C296" s="364" t="s">
        <v>784</v>
      </c>
      <c r="D296" s="374" t="s">
        <v>338</v>
      </c>
      <c r="E296" s="365" t="s">
        <v>285</v>
      </c>
    </row>
    <row r="297" spans="1:5" ht="12.75">
      <c r="A297" s="352">
        <v>291</v>
      </c>
      <c r="B297" s="350" t="str">
        <f t="shared" si="4"/>
        <v> 80% von  </v>
      </c>
      <c r="C297" s="364" t="s">
        <v>339</v>
      </c>
      <c r="D297" s="374" t="s">
        <v>340</v>
      </c>
      <c r="E297" s="365" t="s">
        <v>286</v>
      </c>
    </row>
    <row r="298" spans="1:5" ht="36">
      <c r="A298" s="352">
        <v>292</v>
      </c>
      <c r="B298" s="350" t="str">
        <f t="shared" si="4"/>
        <v>Höchstanteil mit nichterneuerbarer Energie gedeckter Bedarf</v>
      </c>
      <c r="C298" s="364" t="s">
        <v>341</v>
      </c>
      <c r="D298" s="374" t="s">
        <v>999</v>
      </c>
      <c r="E298" s="365" t="s">
        <v>376</v>
      </c>
    </row>
    <row r="299" spans="1:5" ht="48">
      <c r="A299" s="352">
        <v>293</v>
      </c>
      <c r="B299" s="350" t="str">
        <f t="shared" si="4"/>
        <v> Wärmebedarf für Heizung und Warmwasser,</v>
      </c>
      <c r="C299" s="364" t="s">
        <v>785</v>
      </c>
      <c r="D299" s="374" t="s">
        <v>343</v>
      </c>
      <c r="E299" s="365" t="s">
        <v>377</v>
      </c>
    </row>
    <row r="300" spans="1:5" ht="23.25" customHeight="1">
      <c r="A300" s="352">
        <v>294</v>
      </c>
      <c r="B300" s="350" t="str">
        <f t="shared" si="4"/>
        <v> der mit nichterneuerbaren Energie gedeckt wird:</v>
      </c>
      <c r="C300" s="364" t="s">
        <v>786</v>
      </c>
      <c r="D300" s="374" t="s">
        <v>344</v>
      </c>
      <c r="E300" s="365" t="s">
        <v>287</v>
      </c>
    </row>
    <row r="301" spans="1:5" ht="12.75" customHeight="1">
      <c r="A301" s="352">
        <v>295</v>
      </c>
      <c r="B301" s="350" t="str">
        <f t="shared" si="4"/>
        <v> Heizwärmebedarf Qh gem. Norm SIA 380/1 (Ausgabe 2009)</v>
      </c>
      <c r="C301" s="364" t="s">
        <v>345</v>
      </c>
      <c r="D301" s="374" t="s">
        <v>346</v>
      </c>
      <c r="E301" s="365" t="s">
        <v>288</v>
      </c>
    </row>
    <row r="302" spans="1:5" ht="36">
      <c r="A302" s="352">
        <v>296</v>
      </c>
      <c r="B302" s="350" t="str">
        <f t="shared" si="4"/>
        <v> Strombedarf mechanische Ersatzluftanlagen</v>
      </c>
      <c r="C302" s="364" t="s">
        <v>798</v>
      </c>
      <c r="D302" s="374" t="s">
        <v>347</v>
      </c>
      <c r="E302" s="365" t="s">
        <v>289</v>
      </c>
    </row>
    <row r="303" spans="1:5" ht="24">
      <c r="A303" s="352">
        <v>297</v>
      </c>
      <c r="B303" s="350" t="str">
        <f t="shared" si="4"/>
        <v> Wärmebedarf Warmwasser</v>
      </c>
      <c r="C303" s="364" t="s">
        <v>784</v>
      </c>
      <c r="D303" s="374" t="s">
        <v>348</v>
      </c>
      <c r="E303" s="365" t="s">
        <v>285</v>
      </c>
    </row>
    <row r="304" spans="1:5" ht="36">
      <c r="A304" s="352">
        <v>298</v>
      </c>
      <c r="B304" s="350" t="str">
        <f t="shared" si="4"/>
        <v> Anteil QWW mit elektrischem Widerstand (El. doppelt gewichtet)</v>
      </c>
      <c r="C304" s="364" t="s">
        <v>349</v>
      </c>
      <c r="D304" s="374" t="s">
        <v>242</v>
      </c>
      <c r="E304" s="365" t="s">
        <v>691</v>
      </c>
    </row>
    <row r="305" spans="1:5" ht="34.5" customHeight="1">
      <c r="A305" s="352">
        <v>299</v>
      </c>
      <c r="B305" s="350" t="str">
        <f t="shared" si="4"/>
        <v> Eff. Bedarf Heizung + Warmwasser</v>
      </c>
      <c r="C305" s="364" t="s">
        <v>799</v>
      </c>
      <c r="D305" s="374" t="s">
        <v>350</v>
      </c>
      <c r="E305" s="365" t="s">
        <v>290</v>
      </c>
    </row>
    <row r="306" spans="1:5" ht="36">
      <c r="A306" s="352">
        <v>300</v>
      </c>
      <c r="B306" s="350" t="str">
        <f t="shared" si="4"/>
        <v> Nettobeitrag erneuerbare Energien (Bitte Berechnung beilegen):</v>
      </c>
      <c r="C306" s="364" t="s">
        <v>800</v>
      </c>
      <c r="D306" s="374" t="s">
        <v>351</v>
      </c>
      <c r="E306" s="365" t="s">
        <v>291</v>
      </c>
    </row>
    <row r="307" spans="1:5" ht="36">
      <c r="A307" s="352">
        <v>301</v>
      </c>
      <c r="B307" s="350" t="str">
        <f t="shared" si="4"/>
        <v> Berechneter Bedarf gedeckt mit nichterneuerbaren Energien:</v>
      </c>
      <c r="C307" s="364" t="s">
        <v>801</v>
      </c>
      <c r="D307" s="374" t="s">
        <v>352</v>
      </c>
      <c r="E307" s="365" t="s">
        <v>292</v>
      </c>
    </row>
    <row r="308" spans="1:5" ht="12.75">
      <c r="A308" s="352">
        <v>302</v>
      </c>
      <c r="B308" s="350" t="str">
        <f t="shared" si="4"/>
        <v> Bilanz</v>
      </c>
      <c r="C308" s="364" t="s">
        <v>354</v>
      </c>
      <c r="D308" s="374" t="s">
        <v>356</v>
      </c>
      <c r="E308" s="365" t="s">
        <v>293</v>
      </c>
    </row>
    <row r="309" spans="1:5" ht="12.75">
      <c r="A309" s="352">
        <v>303</v>
      </c>
      <c r="B309" s="350" t="str">
        <f t="shared" si="4"/>
        <v>   80%-Bedingung:</v>
      </c>
      <c r="C309" s="364" t="s">
        <v>72</v>
      </c>
      <c r="D309" s="374" t="s">
        <v>73</v>
      </c>
      <c r="E309" s="365" t="s">
        <v>74</v>
      </c>
    </row>
    <row r="310" spans="1:5" ht="12.75">
      <c r="A310" s="352">
        <v>304</v>
      </c>
      <c r="B310" s="350" t="str">
        <f t="shared" si="4"/>
        <v>Kennzahlen:</v>
      </c>
      <c r="C310" s="364" t="s">
        <v>804</v>
      </c>
      <c r="D310" s="374" t="s">
        <v>357</v>
      </c>
      <c r="E310" s="365" t="s">
        <v>294</v>
      </c>
    </row>
    <row r="311" spans="1:5" ht="12.75">
      <c r="A311" s="352">
        <v>305</v>
      </c>
      <c r="B311" s="350" t="str">
        <f t="shared" si="4"/>
        <v>Wärmedämmung:   </v>
      </c>
      <c r="C311" s="364" t="s">
        <v>360</v>
      </c>
      <c r="D311" s="374" t="s">
        <v>359</v>
      </c>
      <c r="E311" s="365" t="s">
        <v>295</v>
      </c>
    </row>
    <row r="312" spans="1:5" ht="24">
      <c r="A312" s="352">
        <v>306</v>
      </c>
      <c r="B312" s="350" t="str">
        <f t="shared" si="4"/>
        <v>Anteil nichterneuerbarer Energie:   </v>
      </c>
      <c r="C312" s="364" t="s">
        <v>819</v>
      </c>
      <c r="D312" s="374" t="s">
        <v>358</v>
      </c>
      <c r="E312" s="365" t="s">
        <v>378</v>
      </c>
    </row>
    <row r="313" spans="1:5" ht="12.75">
      <c r="A313" s="352">
        <v>307</v>
      </c>
      <c r="B313" s="350" t="str">
        <f t="shared" si="4"/>
        <v>Beilagen / Erläuterungen</v>
      </c>
      <c r="C313" s="364" t="s">
        <v>805</v>
      </c>
      <c r="D313" s="374" t="s">
        <v>361</v>
      </c>
      <c r="E313" s="365" t="s">
        <v>296</v>
      </c>
    </row>
    <row r="314" spans="1:5" ht="12.75">
      <c r="A314" s="352">
        <v>308</v>
      </c>
      <c r="B314" s="350" t="str">
        <f t="shared" si="4"/>
        <v>Unterschriften</v>
      </c>
      <c r="C314" s="364" t="s">
        <v>806</v>
      </c>
      <c r="D314" s="374" t="s">
        <v>362</v>
      </c>
      <c r="E314" s="365" t="s">
        <v>297</v>
      </c>
    </row>
    <row r="315" spans="1:5" ht="12.75">
      <c r="A315" s="352">
        <v>309</v>
      </c>
      <c r="B315" s="350" t="str">
        <f t="shared" si="4"/>
        <v> Nachweis erarbeitet durch:</v>
      </c>
      <c r="C315" s="364" t="s">
        <v>807</v>
      </c>
      <c r="D315" s="374" t="s">
        <v>363</v>
      </c>
      <c r="E315" s="365" t="s">
        <v>298</v>
      </c>
    </row>
    <row r="316" spans="1:5" ht="12.75" customHeight="1">
      <c r="A316" s="352">
        <v>310</v>
      </c>
      <c r="B316" s="350" t="str">
        <f t="shared" si="4"/>
        <v> Nachweisprüfung / Private Kontrolle:</v>
      </c>
      <c r="C316" s="364" t="s">
        <v>808</v>
      </c>
      <c r="D316" s="374" t="s">
        <v>364</v>
      </c>
      <c r="E316" s="365" t="s">
        <v>379</v>
      </c>
    </row>
    <row r="317" spans="1:5" ht="12.75" customHeight="1">
      <c r="A317" s="352">
        <v>311</v>
      </c>
      <c r="B317" s="350" t="str">
        <f t="shared" si="4"/>
        <v> Die Vollständigkeit und Richtigkeit bescheinigt</v>
      </c>
      <c r="C317" s="364" t="s">
        <v>809</v>
      </c>
      <c r="D317" s="374" t="s">
        <v>365</v>
      </c>
      <c r="E317" s="365" t="s">
        <v>380</v>
      </c>
    </row>
    <row r="318" spans="1:5" ht="12.75">
      <c r="A318" s="352">
        <v>312</v>
      </c>
      <c r="B318" s="350" t="str">
        <f t="shared" si="4"/>
        <v>Name und Adresse</v>
      </c>
      <c r="C318" s="364" t="s">
        <v>810</v>
      </c>
      <c r="D318" s="374" t="s">
        <v>366</v>
      </c>
      <c r="E318" s="365" t="s">
        <v>299</v>
      </c>
    </row>
    <row r="319" spans="1:5" ht="12.75">
      <c r="A319" s="352">
        <v>313</v>
      </c>
      <c r="B319" s="350" t="str">
        <f t="shared" si="4"/>
        <v>bzw. Firmenstempel</v>
      </c>
      <c r="C319" s="364" t="s">
        <v>811</v>
      </c>
      <c r="D319" s="374" t="s">
        <v>367</v>
      </c>
      <c r="E319" s="365" t="s">
        <v>300</v>
      </c>
    </row>
    <row r="320" spans="1:5" ht="12.75">
      <c r="A320" s="352">
        <v>314</v>
      </c>
      <c r="B320" s="350" t="str">
        <f t="shared" si="4"/>
        <v>Sachbearbeiter/-in, Tel.:</v>
      </c>
      <c r="C320" s="364" t="s">
        <v>812</v>
      </c>
      <c r="D320" s="374" t="s">
        <v>368</v>
      </c>
      <c r="E320" s="365" t="s">
        <v>301</v>
      </c>
    </row>
    <row r="321" spans="1:5" ht="12.75">
      <c r="A321" s="352">
        <v>315</v>
      </c>
      <c r="B321" s="350" t="str">
        <f t="shared" si="4"/>
        <v>Ort, Datum, Unterschrift:</v>
      </c>
      <c r="C321" s="364" t="s">
        <v>813</v>
      </c>
      <c r="D321" s="374" t="s">
        <v>369</v>
      </c>
      <c r="E321" s="365" t="s">
        <v>302</v>
      </c>
    </row>
    <row r="322" spans="1:5" ht="12.75">
      <c r="A322" s="352">
        <v>316</v>
      </c>
      <c r="B322" s="350" t="str">
        <f t="shared" si="4"/>
        <v>Ausführungskontrolle:</v>
      </c>
      <c r="C322" s="364" t="s">
        <v>814</v>
      </c>
      <c r="D322" s="374" t="s">
        <v>370</v>
      </c>
      <c r="E322" s="365" t="s">
        <v>303</v>
      </c>
    </row>
    <row r="323" spans="1:5" ht="12.75">
      <c r="A323" s="352">
        <v>317</v>
      </c>
      <c r="B323" s="350" t="str">
        <f t="shared" si="4"/>
        <v>     gleiche Person</v>
      </c>
      <c r="C323" s="364" t="s">
        <v>815</v>
      </c>
      <c r="D323" s="374" t="s">
        <v>371</v>
      </c>
      <c r="E323" s="365" t="s">
        <v>304</v>
      </c>
    </row>
    <row r="324" spans="1:5" ht="12.75">
      <c r="A324" s="352">
        <v>318</v>
      </c>
      <c r="B324" s="350" t="str">
        <f t="shared" si="4"/>
        <v>oder:</v>
      </c>
      <c r="C324" s="364" t="s">
        <v>816</v>
      </c>
      <c r="D324" s="374" t="s">
        <v>372</v>
      </c>
      <c r="E324" s="365" t="s">
        <v>381</v>
      </c>
    </row>
    <row r="325" spans="1:5" ht="12.75">
      <c r="A325" s="352">
        <v>319</v>
      </c>
      <c r="B325" s="350">
        <f t="shared" si="4"/>
        <v>0</v>
      </c>
      <c r="C325" s="364"/>
      <c r="D325" s="374"/>
      <c r="E325" s="365"/>
    </row>
    <row r="326" spans="1:6" ht="12.75">
      <c r="A326" s="352">
        <v>320</v>
      </c>
      <c r="B326" s="350" t="str">
        <f t="shared" si="4"/>
        <v>gültig bis 31.12.2022</v>
      </c>
      <c r="C326" s="364" t="s">
        <v>133</v>
      </c>
      <c r="D326" s="374" t="s">
        <v>134</v>
      </c>
      <c r="E326" s="365" t="s">
        <v>305</v>
      </c>
      <c r="F326" s="370" t="str">
        <f>INDEX($C$7:$F$1003,A326,$C$2)&amp;E3</f>
        <v>gültig bis 31.12.2022</v>
      </c>
    </row>
    <row r="327" spans="1:5" ht="132" customHeight="1">
      <c r="A327" s="352">
        <v>321</v>
      </c>
      <c r="B327" s="350" t="str">
        <f t="shared" si="4"/>
        <v>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v>
      </c>
      <c r="C327" s="364" t="s">
        <v>373</v>
      </c>
      <c r="D327" s="374" t="s">
        <v>78</v>
      </c>
      <c r="E327" s="365" t="s">
        <v>77</v>
      </c>
    </row>
    <row r="328" spans="1:5" ht="12.75">
      <c r="A328" s="352">
        <v>322</v>
      </c>
      <c r="B328" s="350" t="str">
        <f aca="true" t="shared" si="5" ref="B328:B391">IF(F328&lt;&gt;"",F328,INDEX($C$7:$F$1003,A328,$C$2))</f>
        <v>EBF neu:</v>
      </c>
      <c r="C328" s="364" t="s">
        <v>324</v>
      </c>
      <c r="D328" s="374" t="s">
        <v>326</v>
      </c>
      <c r="E328" s="365" t="s">
        <v>277</v>
      </c>
    </row>
    <row r="329" spans="1:5" ht="12.75" customHeight="1">
      <c r="A329" s="352">
        <v>323</v>
      </c>
      <c r="B329" s="350" t="str">
        <f t="shared" si="5"/>
        <v>EBF der Erweiterung oder Aufstockung, ohne Altbauteil.</v>
      </c>
      <c r="C329" s="364" t="s">
        <v>374</v>
      </c>
      <c r="D329" s="374" t="s">
        <v>985</v>
      </c>
      <c r="E329" s="365" t="s">
        <v>306</v>
      </c>
    </row>
    <row r="330" spans="1:6" ht="27" customHeight="1">
      <c r="A330" s="352">
        <v>324</v>
      </c>
      <c r="B330" s="371" t="str">
        <f t="shared" si="5"/>
        <v>RechNach.xls / Version 7.0</v>
      </c>
      <c r="C330" s="364" t="s">
        <v>961</v>
      </c>
      <c r="D330" s="374" t="s">
        <v>961</v>
      </c>
      <c r="E330" s="365" t="s">
        <v>962</v>
      </c>
      <c r="F330" s="330" t="str">
        <f>INDEX($C$7:$F$1003,A330,$C$2)&amp;E2</f>
        <v>RechNach.xls / Version 7.0</v>
      </c>
    </row>
    <row r="331" spans="1:5" ht="15.75" customHeight="1">
      <c r="A331" s="352">
        <v>325</v>
      </c>
      <c r="B331" s="350" t="str">
        <f t="shared" si="5"/>
        <v>Erfüllt?</v>
      </c>
      <c r="C331" s="364" t="s">
        <v>803</v>
      </c>
      <c r="D331" s="374" t="s">
        <v>252</v>
      </c>
      <c r="E331" s="365" t="s">
        <v>75</v>
      </c>
    </row>
    <row r="332" spans="1:5" ht="12.75">
      <c r="A332" s="352">
        <v>326</v>
      </c>
      <c r="B332" s="350" t="str">
        <f t="shared" si="5"/>
        <v>Ja</v>
      </c>
      <c r="C332" s="364" t="s">
        <v>253</v>
      </c>
      <c r="D332" s="374" t="s">
        <v>989</v>
      </c>
      <c r="E332" s="365" t="s">
        <v>76</v>
      </c>
    </row>
    <row r="333" spans="1:5" ht="12.75">
      <c r="A333" s="352">
        <v>327</v>
      </c>
      <c r="B333" s="350" t="str">
        <f t="shared" si="5"/>
        <v>Nein !</v>
      </c>
      <c r="C333" s="364" t="s">
        <v>990</v>
      </c>
      <c r="D333" s="374" t="s">
        <v>991</v>
      </c>
      <c r="E333" s="365" t="s">
        <v>254</v>
      </c>
    </row>
    <row r="334" spans="1:5" ht="67.5" customHeight="1">
      <c r="A334" s="352">
        <v>328</v>
      </c>
      <c r="B334" s="350" t="str">
        <f t="shared" si="5"/>
        <v>Falls eine andere Prozentzahl als 80% als Bedingung für den Höchstanteil angesetzt ist, ist hier ersichtlich, ob die Anforderung erfüllt ist.</v>
      </c>
      <c r="C334" s="364" t="s">
        <v>687</v>
      </c>
      <c r="D334" s="374" t="s">
        <v>688</v>
      </c>
      <c r="E334" s="365" t="s">
        <v>689</v>
      </c>
    </row>
    <row r="335" spans="1:5" ht="12.75">
      <c r="A335" s="352">
        <v>329</v>
      </c>
      <c r="B335" s="350">
        <f t="shared" si="5"/>
        <v>0</v>
      </c>
      <c r="C335" s="364"/>
      <c r="D335" s="374"/>
      <c r="E335" s="365"/>
    </row>
    <row r="336" spans="1:5" ht="12.75">
      <c r="A336" s="352">
        <v>330</v>
      </c>
      <c r="B336" s="350">
        <f t="shared" si="5"/>
        <v>0</v>
      </c>
      <c r="C336" s="364"/>
      <c r="D336" s="374"/>
      <c r="E336" s="365"/>
    </row>
    <row r="337" spans="1:5" ht="12.75">
      <c r="A337" s="352">
        <v>331</v>
      </c>
      <c r="B337" s="350">
        <f t="shared" si="5"/>
        <v>0</v>
      </c>
      <c r="C337" s="364"/>
      <c r="D337" s="374"/>
      <c r="E337" s="365"/>
    </row>
    <row r="338" spans="1:5" ht="12.75">
      <c r="A338" s="352">
        <v>332</v>
      </c>
      <c r="B338" s="350">
        <f t="shared" si="5"/>
        <v>0</v>
      </c>
      <c r="C338" s="364"/>
      <c r="D338" s="374"/>
      <c r="E338" s="365"/>
    </row>
    <row r="339" spans="1:5" ht="12.75">
      <c r="A339" s="352">
        <v>333</v>
      </c>
      <c r="B339" s="350">
        <f t="shared" si="5"/>
        <v>0</v>
      </c>
      <c r="C339" s="364"/>
      <c r="D339" s="374"/>
      <c r="E339" s="365"/>
    </row>
    <row r="340" spans="1:5" ht="12.75">
      <c r="A340" s="352">
        <v>334</v>
      </c>
      <c r="B340" s="350">
        <f t="shared" si="5"/>
        <v>0</v>
      </c>
      <c r="C340" s="364"/>
      <c r="D340" s="374"/>
      <c r="E340" s="365"/>
    </row>
    <row r="341" spans="1:5" ht="12.75">
      <c r="A341" s="352">
        <v>335</v>
      </c>
      <c r="B341" s="350">
        <f t="shared" si="5"/>
        <v>0</v>
      </c>
      <c r="C341" s="364"/>
      <c r="D341" s="374"/>
      <c r="E341" s="365"/>
    </row>
    <row r="342" spans="1:5" ht="12.75">
      <c r="A342" s="352">
        <v>336</v>
      </c>
      <c r="B342" s="350">
        <f t="shared" si="5"/>
        <v>0</v>
      </c>
      <c r="C342" s="364"/>
      <c r="D342" s="374"/>
      <c r="E342" s="365"/>
    </row>
    <row r="343" spans="1:5" ht="12.75">
      <c r="A343" s="352">
        <v>337</v>
      </c>
      <c r="B343" s="350">
        <f t="shared" si="5"/>
        <v>0</v>
      </c>
      <c r="C343" s="364"/>
      <c r="D343" s="374"/>
      <c r="E343" s="365"/>
    </row>
    <row r="344" spans="1:5" ht="12.75">
      <c r="A344" s="352">
        <v>338</v>
      </c>
      <c r="B344" s="350">
        <f t="shared" si="5"/>
        <v>0</v>
      </c>
      <c r="C344" s="364"/>
      <c r="D344" s="374"/>
      <c r="E344" s="365"/>
    </row>
    <row r="345" spans="1:5" ht="15.75">
      <c r="A345" s="352">
        <v>339</v>
      </c>
      <c r="B345" s="350" t="str">
        <f t="shared" si="5"/>
        <v>Blatt Rechengang</v>
      </c>
      <c r="C345" s="368" t="s">
        <v>311</v>
      </c>
      <c r="D345" s="374"/>
      <c r="E345" s="365"/>
    </row>
    <row r="346" spans="1:5" ht="12.75">
      <c r="A346" s="352">
        <v>340</v>
      </c>
      <c r="B346" s="350" t="str">
        <f t="shared" si="5"/>
        <v>Rechengang</v>
      </c>
      <c r="C346" s="364" t="s">
        <v>104</v>
      </c>
      <c r="D346" s="374" t="s">
        <v>692</v>
      </c>
      <c r="E346" s="365" t="s">
        <v>225</v>
      </c>
    </row>
    <row r="347" spans="1:5" ht="12.75">
      <c r="A347" s="352">
        <v>341</v>
      </c>
      <c r="B347" s="350" t="str">
        <f t="shared" si="5"/>
        <v>Projekt:</v>
      </c>
      <c r="C347" s="364" t="s">
        <v>1152</v>
      </c>
      <c r="D347" s="374" t="s">
        <v>648</v>
      </c>
      <c r="E347" s="365" t="s">
        <v>212</v>
      </c>
    </row>
    <row r="348" spans="1:5" ht="12.75">
      <c r="A348" s="352">
        <v>342</v>
      </c>
      <c r="B348" s="350" t="str">
        <f t="shared" si="5"/>
        <v>Beilage / Seite:</v>
      </c>
      <c r="C348" s="364" t="s">
        <v>1151</v>
      </c>
      <c r="D348" s="374" t="s">
        <v>711</v>
      </c>
      <c r="E348" s="365" t="s">
        <v>226</v>
      </c>
    </row>
    <row r="349" spans="1:5" ht="12.75">
      <c r="A349" s="352">
        <v>343</v>
      </c>
      <c r="B349" s="350">
        <f t="shared" si="5"/>
        <v>0</v>
      </c>
      <c r="C349" s="364"/>
      <c r="D349" s="374"/>
      <c r="E349" s="365"/>
    </row>
    <row r="350" spans="1:5" ht="12.75">
      <c r="A350" s="352">
        <v>344</v>
      </c>
      <c r="B350" s="350" t="str">
        <f t="shared" si="5"/>
        <v>Gebäudedaten</v>
      </c>
      <c r="C350" s="364" t="s">
        <v>1153</v>
      </c>
      <c r="D350" s="374" t="s">
        <v>712</v>
      </c>
      <c r="E350" s="365" t="s">
        <v>227</v>
      </c>
    </row>
    <row r="351" spans="1:5" ht="12.75">
      <c r="A351" s="352">
        <v>345</v>
      </c>
      <c r="B351" s="350" t="str">
        <f t="shared" si="5"/>
        <v>Gebäudestandort</v>
      </c>
      <c r="C351" s="364" t="s">
        <v>68</v>
      </c>
      <c r="D351" s="374" t="s">
        <v>713</v>
      </c>
      <c r="E351" s="365" t="s">
        <v>228</v>
      </c>
    </row>
    <row r="352" spans="1:5" ht="12.75">
      <c r="A352" s="352">
        <v>346</v>
      </c>
      <c r="B352" s="350" t="str">
        <f t="shared" si="5"/>
        <v>m.ü.M.</v>
      </c>
      <c r="C352" s="364" t="s">
        <v>1076</v>
      </c>
      <c r="D352" s="374" t="s">
        <v>131</v>
      </c>
      <c r="E352" s="365" t="s">
        <v>164</v>
      </c>
    </row>
    <row r="353" spans="1:5" ht="12.75">
      <c r="A353" s="352">
        <v>347</v>
      </c>
      <c r="B353" s="350" t="str">
        <f t="shared" si="5"/>
        <v>Klimastation: </v>
      </c>
      <c r="C353" s="364" t="s">
        <v>69</v>
      </c>
      <c r="D353" s="374" t="s">
        <v>714</v>
      </c>
      <c r="E353" s="365" t="s">
        <v>229</v>
      </c>
    </row>
    <row r="354" spans="1:5" ht="48">
      <c r="A354" s="352">
        <v>348</v>
      </c>
      <c r="B354" s="350" t="str">
        <f t="shared" si="5"/>
        <v>(Diese sind der Heizwärmebedarfsberechnung gemäss SIA 380/1 zu entnehmen.)</v>
      </c>
      <c r="C354" s="364" t="s">
        <v>426</v>
      </c>
      <c r="D354" s="374" t="s">
        <v>715</v>
      </c>
      <c r="E354" s="365" t="s">
        <v>230</v>
      </c>
    </row>
    <row r="355" spans="1:5" ht="12.75">
      <c r="A355" s="352">
        <v>349</v>
      </c>
      <c r="B355" s="350" t="str">
        <f t="shared" si="5"/>
        <v>Thermische Zone</v>
      </c>
      <c r="C355" s="364" t="s">
        <v>416</v>
      </c>
      <c r="D355" s="374" t="s">
        <v>716</v>
      </c>
      <c r="E355" s="365" t="s">
        <v>231</v>
      </c>
    </row>
    <row r="356" spans="1:5" ht="12.75">
      <c r="A356" s="352">
        <v>350</v>
      </c>
      <c r="B356" s="350" t="str">
        <f t="shared" si="5"/>
        <v>Summe</v>
      </c>
      <c r="C356" s="364" t="s">
        <v>0</v>
      </c>
      <c r="D356" s="374" t="s">
        <v>717</v>
      </c>
      <c r="E356" s="365" t="s">
        <v>717</v>
      </c>
    </row>
    <row r="357" spans="1:5" ht="12.75">
      <c r="A357" s="352">
        <v>351</v>
      </c>
      <c r="B357" s="350" t="str">
        <f t="shared" si="5"/>
        <v>(Mittel)</v>
      </c>
      <c r="C357" s="364" t="s">
        <v>2</v>
      </c>
      <c r="D357" s="374" t="s">
        <v>718</v>
      </c>
      <c r="E357" s="365" t="s">
        <v>232</v>
      </c>
    </row>
    <row r="358" spans="1:5" ht="12.75">
      <c r="A358" s="352">
        <v>352</v>
      </c>
      <c r="B358" s="350" t="str">
        <f t="shared" si="5"/>
        <v>Gebäudekategorie</v>
      </c>
      <c r="C358" s="364" t="s">
        <v>1000</v>
      </c>
      <c r="D358" s="374" t="s">
        <v>321</v>
      </c>
      <c r="E358" s="365" t="s">
        <v>659</v>
      </c>
    </row>
    <row r="359" spans="1:5" ht="24">
      <c r="A359" s="352">
        <v>353</v>
      </c>
      <c r="B359" s="350" t="str">
        <f t="shared" si="5"/>
        <v>Energiebezugsfläche EBF</v>
      </c>
      <c r="C359" s="364" t="s">
        <v>124</v>
      </c>
      <c r="D359" s="374" t="s">
        <v>319</v>
      </c>
      <c r="E359" s="365" t="s">
        <v>658</v>
      </c>
    </row>
    <row r="360" spans="1:5" ht="12.75">
      <c r="A360" s="352">
        <v>354</v>
      </c>
      <c r="B360" s="350" t="str">
        <f t="shared" si="5"/>
        <v>Gebäudehüllzahl</v>
      </c>
      <c r="C360" s="364" t="s">
        <v>126</v>
      </c>
      <c r="D360" s="374" t="s">
        <v>720</v>
      </c>
      <c r="E360" s="365" t="s">
        <v>233</v>
      </c>
    </row>
    <row r="361" spans="1:5" ht="24">
      <c r="A361" s="352">
        <v>355</v>
      </c>
      <c r="B361" s="350" t="str">
        <f t="shared" si="5"/>
        <v>Heizwärmebedarf</v>
      </c>
      <c r="C361" s="364" t="s">
        <v>428</v>
      </c>
      <c r="D361" s="374" t="s">
        <v>721</v>
      </c>
      <c r="E361" s="365" t="s">
        <v>234</v>
      </c>
    </row>
    <row r="362" spans="1:5" ht="24">
      <c r="A362" s="352">
        <v>356</v>
      </c>
      <c r="B362" s="350" t="str">
        <f t="shared" si="5"/>
        <v>Grenzwert Heizwärmebedarf</v>
      </c>
      <c r="C362" s="364" t="s">
        <v>427</v>
      </c>
      <c r="D362" s="374" t="s">
        <v>722</v>
      </c>
      <c r="E362" s="365" t="s">
        <v>235</v>
      </c>
    </row>
    <row r="363" spans="1:5" ht="24">
      <c r="A363" s="352">
        <v>357</v>
      </c>
      <c r="B363" s="350" t="str">
        <f t="shared" si="5"/>
        <v>Warmwasserbedarf</v>
      </c>
      <c r="C363" s="364" t="s">
        <v>6</v>
      </c>
      <c r="D363" s="374" t="s">
        <v>729</v>
      </c>
      <c r="E363" s="365" t="s">
        <v>194</v>
      </c>
    </row>
    <row r="364" spans="1:5" ht="24">
      <c r="A364" s="352">
        <v>358</v>
      </c>
      <c r="B364" s="350" t="str">
        <f t="shared" si="5"/>
        <v>Anteil Qww: Elektrodirektheizung WW</v>
      </c>
      <c r="C364" s="364" t="s">
        <v>730</v>
      </c>
      <c r="D364" s="374" t="s">
        <v>308</v>
      </c>
      <c r="E364" s="365" t="s">
        <v>236</v>
      </c>
    </row>
    <row r="365" spans="1:5" ht="36">
      <c r="A365" s="352">
        <v>359</v>
      </c>
      <c r="B365" s="350" t="str">
        <f t="shared" si="5"/>
        <v> - Elektrodirektheizung : Rechenwert</v>
      </c>
      <c r="C365" s="367" t="s">
        <v>176</v>
      </c>
      <c r="D365" s="376" t="s">
        <v>243</v>
      </c>
      <c r="E365" s="378" t="s">
        <v>237</v>
      </c>
    </row>
    <row r="366" spans="1:5" ht="24">
      <c r="A366" s="352">
        <v>360</v>
      </c>
      <c r="B366" s="350" t="str">
        <f t="shared" si="5"/>
        <v>Zulässiger Energiebedarf</v>
      </c>
      <c r="C366" s="364" t="s">
        <v>8</v>
      </c>
      <c r="D366" s="374" t="s">
        <v>732</v>
      </c>
      <c r="E366" s="365" t="s">
        <v>869</v>
      </c>
    </row>
    <row r="367" spans="1:5" ht="12.75">
      <c r="A367" s="352">
        <v>361</v>
      </c>
      <c r="B367" s="350" t="str">
        <f t="shared" si="5"/>
        <v>      für Heizung</v>
      </c>
      <c r="C367" s="364" t="s">
        <v>9</v>
      </c>
      <c r="D367" s="374" t="s">
        <v>733</v>
      </c>
      <c r="E367" s="365" t="s">
        <v>870</v>
      </c>
    </row>
    <row r="368" spans="1:5" ht="12.75">
      <c r="A368" s="352">
        <v>362</v>
      </c>
      <c r="B368" s="350" t="str">
        <f t="shared" si="5"/>
        <v>      für Warmwasser</v>
      </c>
      <c r="C368" s="364" t="s">
        <v>10</v>
      </c>
      <c r="D368" s="374" t="s">
        <v>734</v>
      </c>
      <c r="E368" s="365" t="s">
        <v>871</v>
      </c>
    </row>
    <row r="369" spans="1:5" ht="12.75" customHeight="1">
      <c r="A369" s="352">
        <v>363</v>
      </c>
      <c r="B369" s="350" t="str">
        <f t="shared" si="5"/>
        <v>   für Heizung und Warmwasser</v>
      </c>
      <c r="C369" s="364" t="s">
        <v>11</v>
      </c>
      <c r="D369" s="374" t="s">
        <v>735</v>
      </c>
      <c r="E369" s="365" t="s">
        <v>872</v>
      </c>
    </row>
    <row r="370" spans="1:5" ht="12.75" customHeight="1">
      <c r="A370" s="352">
        <v>364</v>
      </c>
      <c r="B370" s="350" t="str">
        <f t="shared" si="5"/>
        <v>Höchstanteil an nichterneuerbaren Energien</v>
      </c>
      <c r="C370" s="364" t="s">
        <v>12</v>
      </c>
      <c r="D370" s="374" t="s">
        <v>239</v>
      </c>
      <c r="E370" s="365" t="s">
        <v>873</v>
      </c>
    </row>
    <row r="371" spans="1:5" ht="24">
      <c r="A371" s="352">
        <v>365</v>
      </c>
      <c r="B371" s="350" t="str">
        <f t="shared" si="5"/>
        <v>Geplanter Energiebedarf</v>
      </c>
      <c r="C371" s="364" t="s">
        <v>13</v>
      </c>
      <c r="D371" s="374" t="s">
        <v>736</v>
      </c>
      <c r="E371" s="365" t="s">
        <v>874</v>
      </c>
    </row>
    <row r="372" spans="1:5" ht="24">
      <c r="A372" s="352">
        <v>366</v>
      </c>
      <c r="B372" s="350" t="str">
        <f t="shared" si="5"/>
        <v>Heizwärmebedarf</v>
      </c>
      <c r="C372" s="364" t="s">
        <v>428</v>
      </c>
      <c r="D372" s="374" t="s">
        <v>721</v>
      </c>
      <c r="E372" s="365" t="s">
        <v>234</v>
      </c>
    </row>
    <row r="373" spans="1:5" ht="24">
      <c r="A373" s="352">
        <v>367</v>
      </c>
      <c r="B373" s="350" t="str">
        <f t="shared" si="5"/>
        <v>Warmwasserbedarf</v>
      </c>
      <c r="C373" s="364" t="s">
        <v>6</v>
      </c>
      <c r="D373" s="374" t="s">
        <v>729</v>
      </c>
      <c r="E373" s="365" t="s">
        <v>194</v>
      </c>
    </row>
    <row r="374" spans="1:5" ht="24">
      <c r="A374" s="352">
        <v>368</v>
      </c>
      <c r="B374" s="350" t="str">
        <f t="shared" si="5"/>
        <v>Strom Lüftung doppelt gewichtet</v>
      </c>
      <c r="C374" s="364" t="s">
        <v>14</v>
      </c>
      <c r="D374" s="374" t="s">
        <v>737</v>
      </c>
      <c r="E374" s="365" t="s">
        <v>875</v>
      </c>
    </row>
    <row r="375" spans="1:5" ht="24">
      <c r="A375" s="352">
        <v>369</v>
      </c>
      <c r="B375" s="350" t="str">
        <f t="shared" si="5"/>
        <v>Gewichteter Energiebedarf</v>
      </c>
      <c r="C375" s="364" t="s">
        <v>15</v>
      </c>
      <c r="D375" s="374" t="s">
        <v>738</v>
      </c>
      <c r="E375" s="365" t="s">
        <v>876</v>
      </c>
    </row>
    <row r="376" spans="1:5" ht="12.75">
      <c r="A376" s="352">
        <v>370</v>
      </c>
      <c r="B376" s="350" t="str">
        <f t="shared" si="5"/>
        <v>Zone:</v>
      </c>
      <c r="C376" s="364" t="s">
        <v>1126</v>
      </c>
      <c r="D376" s="374" t="s">
        <v>1126</v>
      </c>
      <c r="E376" s="365" t="s">
        <v>1126</v>
      </c>
    </row>
    <row r="377" spans="1:5" ht="24">
      <c r="A377" s="352">
        <v>371</v>
      </c>
      <c r="B377" s="350" t="str">
        <f t="shared" si="5"/>
        <v>Erneuerbare Energie/Abwärme</v>
      </c>
      <c r="C377" s="364" t="s">
        <v>16</v>
      </c>
      <c r="D377" s="374" t="s">
        <v>739</v>
      </c>
      <c r="E377" s="365" t="s">
        <v>877</v>
      </c>
    </row>
    <row r="378" spans="1:5" ht="12.75">
      <c r="A378" s="352">
        <v>372</v>
      </c>
      <c r="B378" s="350" t="str">
        <f t="shared" si="5"/>
        <v>Ertrag:</v>
      </c>
      <c r="C378" s="364" t="s">
        <v>17</v>
      </c>
      <c r="D378" s="374" t="s">
        <v>740</v>
      </c>
      <c r="E378" s="365" t="s">
        <v>878</v>
      </c>
    </row>
    <row r="379" spans="1:5" ht="12.75">
      <c r="A379" s="352">
        <v>373</v>
      </c>
      <c r="B379" s="350" t="str">
        <f t="shared" si="5"/>
        <v>Wärme</v>
      </c>
      <c r="C379" s="364" t="s">
        <v>18</v>
      </c>
      <c r="D379" s="374" t="s">
        <v>741</v>
      </c>
      <c r="E379" s="365" t="s">
        <v>879</v>
      </c>
    </row>
    <row r="380" spans="1:5" ht="12.75">
      <c r="A380" s="352">
        <v>374</v>
      </c>
      <c r="B380" s="350" t="str">
        <f t="shared" si="5"/>
        <v>Strom</v>
      </c>
      <c r="C380" s="364" t="s">
        <v>19</v>
      </c>
      <c r="D380" s="374" t="s">
        <v>742</v>
      </c>
      <c r="E380" s="365" t="s">
        <v>880</v>
      </c>
    </row>
    <row r="381" spans="1:5" ht="12.75">
      <c r="A381" s="352">
        <v>375</v>
      </c>
      <c r="B381" s="350" t="str">
        <f t="shared" si="5"/>
        <v>Netto</v>
      </c>
      <c r="C381" s="364" t="s">
        <v>20</v>
      </c>
      <c r="D381" s="374" t="s">
        <v>992</v>
      </c>
      <c r="E381" s="365" t="s">
        <v>20</v>
      </c>
    </row>
    <row r="382" spans="1:5" ht="12.75">
      <c r="A382" s="352">
        <v>376</v>
      </c>
      <c r="B382" s="350" t="str">
        <f t="shared" si="5"/>
        <v>Solaranlage</v>
      </c>
      <c r="C382" s="364" t="s">
        <v>21</v>
      </c>
      <c r="D382" s="374" t="s">
        <v>743</v>
      </c>
      <c r="E382" s="365" t="s">
        <v>660</v>
      </c>
    </row>
    <row r="383" spans="1:5" ht="12.75">
      <c r="A383" s="352">
        <v>377</v>
      </c>
      <c r="B383" s="350" t="str">
        <f t="shared" si="5"/>
        <v>Wärmepumpe</v>
      </c>
      <c r="C383" s="364" t="s">
        <v>23</v>
      </c>
      <c r="D383" s="374" t="s">
        <v>744</v>
      </c>
      <c r="E383" s="365" t="s">
        <v>881</v>
      </c>
    </row>
    <row r="384" spans="1:5" ht="12.75">
      <c r="A384" s="352">
        <v>378</v>
      </c>
      <c r="B384" s="350" t="str">
        <f t="shared" si="5"/>
        <v>Holzheizung</v>
      </c>
      <c r="C384" s="364" t="s">
        <v>24</v>
      </c>
      <c r="D384" s="374" t="s">
        <v>745</v>
      </c>
      <c r="E384" s="365" t="s">
        <v>882</v>
      </c>
    </row>
    <row r="385" spans="1:5" ht="24">
      <c r="A385" s="352">
        <v>379</v>
      </c>
      <c r="B385" s="350" t="str">
        <f t="shared" si="5"/>
        <v>andere erneuerbare Energien</v>
      </c>
      <c r="C385" s="364" t="s">
        <v>26</v>
      </c>
      <c r="D385" s="374" t="s">
        <v>746</v>
      </c>
      <c r="E385" s="365" t="s">
        <v>883</v>
      </c>
    </row>
    <row r="386" spans="1:5" ht="12.75" customHeight="1">
      <c r="A386" s="352">
        <v>380</v>
      </c>
      <c r="B386" s="350" t="str">
        <f t="shared" si="5"/>
        <v>Abwärmenutzung</v>
      </c>
      <c r="C386" s="364" t="s">
        <v>25</v>
      </c>
      <c r="D386" s="374" t="s">
        <v>747</v>
      </c>
      <c r="E386" s="365" t="s">
        <v>884</v>
      </c>
    </row>
    <row r="387" spans="1:5" ht="24">
      <c r="A387" s="352">
        <v>381</v>
      </c>
      <c r="B387" s="350" t="str">
        <f t="shared" si="5"/>
        <v>Summe erneuerbare Energie</v>
      </c>
      <c r="C387" s="364" t="s">
        <v>27</v>
      </c>
      <c r="D387" s="374" t="s">
        <v>748</v>
      </c>
      <c r="E387" s="365" t="s">
        <v>885</v>
      </c>
    </row>
    <row r="388" spans="1:5" ht="12.75" customHeight="1">
      <c r="A388" s="352">
        <v>382</v>
      </c>
      <c r="B388" s="350" t="str">
        <f t="shared" si="5"/>
        <v>(Negative Zahlen bedeuten Aufwand)</v>
      </c>
      <c r="C388" s="364" t="s">
        <v>749</v>
      </c>
      <c r="D388" s="374" t="s">
        <v>755</v>
      </c>
      <c r="E388" s="365" t="s">
        <v>886</v>
      </c>
    </row>
    <row r="389" spans="1:5" ht="24">
      <c r="A389" s="352">
        <v>383</v>
      </c>
      <c r="B389" s="350" t="str">
        <f t="shared" si="5"/>
        <v>Durch nichterneuerbare Energie gedeckt</v>
      </c>
      <c r="C389" s="364" t="s">
        <v>28</v>
      </c>
      <c r="D389" s="374" t="s">
        <v>750</v>
      </c>
      <c r="E389" s="365" t="s">
        <v>887</v>
      </c>
    </row>
    <row r="390" spans="1:5" ht="12.75">
      <c r="A390" s="352">
        <v>384</v>
      </c>
      <c r="B390" s="350" t="str">
        <f t="shared" si="5"/>
        <v>Vergleich</v>
      </c>
      <c r="C390" s="364" t="s">
        <v>29</v>
      </c>
      <c r="D390" s="374" t="s">
        <v>751</v>
      </c>
      <c r="E390" s="365" t="s">
        <v>888</v>
      </c>
    </row>
    <row r="391" spans="1:5" ht="12.75">
      <c r="A391" s="352">
        <v>385</v>
      </c>
      <c r="B391" s="350" t="str">
        <f t="shared" si="5"/>
        <v>Anforderung</v>
      </c>
      <c r="C391" s="364" t="s">
        <v>30</v>
      </c>
      <c r="D391" s="374" t="s">
        <v>752</v>
      </c>
      <c r="E391" s="365" t="s">
        <v>889</v>
      </c>
    </row>
    <row r="392" spans="1:5" ht="12.75">
      <c r="A392" s="352">
        <v>386</v>
      </c>
      <c r="B392" s="350" t="str">
        <f aca="true" t="shared" si="6" ref="B392:B455">IF(F392&lt;&gt;"",F392,INDEX($C$7:$F$1003,A392,$C$2))</f>
        <v>Deckung</v>
      </c>
      <c r="C392" s="364" t="s">
        <v>31</v>
      </c>
      <c r="D392" s="374" t="s">
        <v>754</v>
      </c>
      <c r="E392" s="365" t="s">
        <v>205</v>
      </c>
    </row>
    <row r="393" spans="1:5" ht="24">
      <c r="A393" s="352">
        <v>387</v>
      </c>
      <c r="B393" s="350" t="str">
        <f t="shared" si="6"/>
        <v>Durch nichterneuerbare Energie gedeckt</v>
      </c>
      <c r="C393" s="364" t="s">
        <v>28</v>
      </c>
      <c r="D393" s="374" t="s">
        <v>753</v>
      </c>
      <c r="E393" s="365" t="s">
        <v>890</v>
      </c>
    </row>
    <row r="394" spans="1:5" ht="12.75">
      <c r="A394" s="352">
        <v>388</v>
      </c>
      <c r="B394" s="350" t="str">
        <f t="shared" si="6"/>
        <v>Nicht erfüllt</v>
      </c>
      <c r="C394" s="364" t="s">
        <v>756</v>
      </c>
      <c r="D394" s="374" t="s">
        <v>757</v>
      </c>
      <c r="E394" s="365" t="s">
        <v>891</v>
      </c>
    </row>
    <row r="395" spans="1:5" ht="12.75">
      <c r="A395" s="352">
        <v>389</v>
      </c>
      <c r="B395" s="350" t="str">
        <f t="shared" si="6"/>
        <v>i.O.</v>
      </c>
      <c r="C395" s="364" t="s">
        <v>758</v>
      </c>
      <c r="D395" s="374" t="s">
        <v>759</v>
      </c>
      <c r="E395" s="365" t="s">
        <v>759</v>
      </c>
    </row>
    <row r="396" spans="1:5" ht="12.75">
      <c r="A396" s="352">
        <v>390</v>
      </c>
      <c r="B396" s="350" t="str">
        <f t="shared" si="6"/>
        <v>Wärmedämmung!</v>
      </c>
      <c r="C396" s="364" t="s">
        <v>761</v>
      </c>
      <c r="D396" s="374" t="s">
        <v>760</v>
      </c>
      <c r="E396" s="365" t="s">
        <v>892</v>
      </c>
    </row>
    <row r="397" spans="1:5" ht="12.75">
      <c r="A397" s="352">
        <v>391</v>
      </c>
      <c r="B397" s="350" t="str">
        <f t="shared" si="6"/>
        <v>Qh zu gross!</v>
      </c>
      <c r="C397" s="364" t="s">
        <v>138</v>
      </c>
      <c r="D397" s="374" t="s">
        <v>244</v>
      </c>
      <c r="E397" s="365" t="s">
        <v>195</v>
      </c>
    </row>
    <row r="398" spans="1:5" ht="36">
      <c r="A398" s="352">
        <v>392</v>
      </c>
      <c r="B398" s="350" t="str">
        <f t="shared" si="6"/>
        <v>Qh  ist grösser als Qh,li --&gt; Wärmedämmvorschriften Seite 2!</v>
      </c>
      <c r="C398" s="364" t="s">
        <v>643</v>
      </c>
      <c r="D398" s="374" t="s">
        <v>245</v>
      </c>
      <c r="E398" s="365" t="s">
        <v>917</v>
      </c>
    </row>
    <row r="399" spans="1:5" ht="24">
      <c r="A399" s="352">
        <v>393</v>
      </c>
      <c r="B399" s="350" t="str">
        <f t="shared" si="6"/>
        <v>Heizwärmebedarf Qh,eff:</v>
      </c>
      <c r="C399" s="364" t="s">
        <v>60</v>
      </c>
      <c r="D399" s="374" t="s">
        <v>246</v>
      </c>
      <c r="E399" s="365" t="s">
        <v>918</v>
      </c>
    </row>
    <row r="400" spans="1:5" ht="96">
      <c r="A400" s="352">
        <v>394</v>
      </c>
      <c r="B400" s="350" t="str">
        <f t="shared" si="6"/>
        <v>Kann aus der Berechnung SIA 380/1 entnommen werden. Berechnet mit effektivem, thermisch wirksamen Aussenluftvolumenstrom (WRG kann berücksichtigt werden).</v>
      </c>
      <c r="C400" s="364" t="s">
        <v>61</v>
      </c>
      <c r="D400" s="374" t="s">
        <v>974</v>
      </c>
      <c r="E400" s="365" t="s">
        <v>919</v>
      </c>
    </row>
    <row r="401" spans="1:5" ht="24">
      <c r="A401" s="352">
        <v>395</v>
      </c>
      <c r="B401" s="350" t="str">
        <f t="shared" si="6"/>
        <v>Elektrodirektheizung,  Rechenwert:</v>
      </c>
      <c r="C401" s="364" t="s">
        <v>644</v>
      </c>
      <c r="D401" s="374" t="s">
        <v>247</v>
      </c>
      <c r="E401" s="365" t="s">
        <v>920</v>
      </c>
    </row>
    <row r="402" spans="1:5" ht="102.75" customHeight="1">
      <c r="A402" s="352">
        <v>396</v>
      </c>
      <c r="B402" s="350" t="str">
        <f t="shared" si="6"/>
        <v>Als Vorschlagswert wird der Elektro-Anteil für das Warmwasser aus dem Blatt WP genommen, falls dort Elektro-Einsatz zur Nachwärmung oder im Parallelbetrieb bei der Wassererwärmung angewählt wurde, ansonsten ist der Vorschlagswert Null.</v>
      </c>
      <c r="C402" s="364" t="s">
        <v>645</v>
      </c>
      <c r="D402" s="374" t="s">
        <v>248</v>
      </c>
      <c r="E402" s="365" t="s">
        <v>921</v>
      </c>
    </row>
    <row r="403" spans="1:5" ht="48">
      <c r="A403" s="352">
        <v>397</v>
      </c>
      <c r="B403" s="350" t="str">
        <f t="shared" si="6"/>
        <v>Der Rechenwert übernimmt den Vorschlagswert, sofern in der Zeile 20 kein Wert eingegeben wird.</v>
      </c>
      <c r="C403" s="364" t="s">
        <v>646</v>
      </c>
      <c r="D403" s="374" t="s">
        <v>249</v>
      </c>
      <c r="E403" s="365" t="s">
        <v>922</v>
      </c>
    </row>
    <row r="404" spans="1:5" ht="12.75">
      <c r="A404" s="352">
        <v>398</v>
      </c>
      <c r="B404" s="350">
        <f t="shared" si="6"/>
        <v>0</v>
      </c>
      <c r="C404" s="364"/>
      <c r="D404" s="374"/>
      <c r="E404" s="365"/>
    </row>
    <row r="405" spans="1:5" ht="15.75">
      <c r="A405" s="352">
        <v>399</v>
      </c>
      <c r="B405" s="350" t="str">
        <f t="shared" si="6"/>
        <v>Blatt Erneuerbar</v>
      </c>
      <c r="C405" s="368" t="s">
        <v>312</v>
      </c>
      <c r="D405" s="374"/>
      <c r="E405" s="365"/>
    </row>
    <row r="406" spans="1:5" ht="12.75">
      <c r="A406" s="352">
        <v>400</v>
      </c>
      <c r="B406" s="350" t="str">
        <f t="shared" si="6"/>
        <v>Eneuerbar</v>
      </c>
      <c r="C406" s="364" t="s">
        <v>103</v>
      </c>
      <c r="D406" s="374" t="s">
        <v>309</v>
      </c>
      <c r="E406" s="365" t="s">
        <v>923</v>
      </c>
    </row>
    <row r="407" spans="1:5" ht="12.75">
      <c r="A407" s="352">
        <v>401</v>
      </c>
      <c r="B407" s="350" t="str">
        <f t="shared" si="6"/>
        <v>Beilage / Seite:</v>
      </c>
      <c r="C407" s="364" t="s">
        <v>1151</v>
      </c>
      <c r="D407" s="374" t="s">
        <v>711</v>
      </c>
      <c r="E407" s="365" t="s">
        <v>924</v>
      </c>
    </row>
    <row r="408" spans="1:5" ht="12.75">
      <c r="A408" s="352">
        <v>402</v>
      </c>
      <c r="B408" s="350" t="str">
        <f t="shared" si="6"/>
        <v>Projekt:</v>
      </c>
      <c r="C408" s="364" t="s">
        <v>1152</v>
      </c>
      <c r="D408" s="374" t="s">
        <v>648</v>
      </c>
      <c r="E408" s="365" t="s">
        <v>212</v>
      </c>
    </row>
    <row r="409" spans="1:5" ht="12.75" customHeight="1">
      <c r="A409" s="352">
        <v>403</v>
      </c>
      <c r="B409" s="350" t="str">
        <f t="shared" si="6"/>
        <v>Beitrag der erneuerbaren Energien</v>
      </c>
      <c r="C409" s="364" t="s">
        <v>46</v>
      </c>
      <c r="D409" s="374" t="s">
        <v>437</v>
      </c>
      <c r="E409" s="365" t="s">
        <v>925</v>
      </c>
    </row>
    <row r="410" spans="1:5" ht="12.75">
      <c r="A410" s="352">
        <v>404</v>
      </c>
      <c r="B410" s="350" t="str">
        <f t="shared" si="6"/>
        <v>Solaranlagen</v>
      </c>
      <c r="C410" s="364" t="s">
        <v>47</v>
      </c>
      <c r="D410" s="374" t="s">
        <v>438</v>
      </c>
      <c r="E410" s="365" t="s">
        <v>926</v>
      </c>
    </row>
    <row r="411" spans="1:5" ht="12.75">
      <c r="A411" s="352">
        <v>405</v>
      </c>
      <c r="B411" s="350" t="str">
        <f t="shared" si="6"/>
        <v>Anlage (Bezeichnung):</v>
      </c>
      <c r="C411" s="364" t="s">
        <v>48</v>
      </c>
      <c r="D411" s="374" t="s">
        <v>250</v>
      </c>
      <c r="E411" s="365" t="s">
        <v>927</v>
      </c>
    </row>
    <row r="412" spans="1:5" ht="24">
      <c r="A412" s="352">
        <v>406</v>
      </c>
      <c r="B412" s="350" t="str">
        <f t="shared" si="6"/>
        <v>Einsatz (Heizung oder Warmwasser)</v>
      </c>
      <c r="C412" s="364" t="s">
        <v>1136</v>
      </c>
      <c r="D412" s="374" t="s">
        <v>440</v>
      </c>
      <c r="E412" s="365" t="s">
        <v>928</v>
      </c>
    </row>
    <row r="413" spans="1:5" ht="12.75">
      <c r="A413" s="352">
        <v>407</v>
      </c>
      <c r="B413" s="350" t="str">
        <f t="shared" si="6"/>
        <v>Absorberfläche </v>
      </c>
      <c r="C413" s="364" t="s">
        <v>49</v>
      </c>
      <c r="D413" s="374" t="s">
        <v>993</v>
      </c>
      <c r="E413" s="365" t="s">
        <v>661</v>
      </c>
    </row>
    <row r="414" spans="1:5" ht="36">
      <c r="A414" s="352">
        <v>408</v>
      </c>
      <c r="B414" s="350" t="str">
        <f t="shared" si="6"/>
        <v>Ertrag pro m² Absorberfläche aus Berechnungsblatt 'WP'</v>
      </c>
      <c r="C414" s="364" t="s">
        <v>647</v>
      </c>
      <c r="D414" s="374" t="s">
        <v>251</v>
      </c>
      <c r="E414" s="365" t="s">
        <v>929</v>
      </c>
    </row>
    <row r="415" spans="1:5" ht="12.75" customHeight="1">
      <c r="A415" s="352">
        <v>409</v>
      </c>
      <c r="B415" s="350" t="str">
        <f t="shared" si="6"/>
        <v>Ertrag pro m² Absorberfläche (inkl. Reduktionsfaktor)</v>
      </c>
      <c r="C415" s="364" t="s">
        <v>51</v>
      </c>
      <c r="D415" s="377" t="s">
        <v>214</v>
      </c>
      <c r="E415" s="365" t="s">
        <v>930</v>
      </c>
    </row>
    <row r="416" spans="1:5" ht="12.75" customHeight="1">
      <c r="A416" s="352">
        <v>410</v>
      </c>
      <c r="B416" s="350" t="str">
        <f t="shared" si="6"/>
        <v>- Eingabe (Berechnung beilegen)</v>
      </c>
      <c r="C416" s="367" t="s">
        <v>441</v>
      </c>
      <c r="D416" s="376" t="s">
        <v>442</v>
      </c>
      <c r="E416" s="378" t="s">
        <v>897</v>
      </c>
    </row>
    <row r="417" spans="1:5" ht="24">
      <c r="A417" s="352">
        <v>411</v>
      </c>
      <c r="B417" s="350" t="str">
        <f t="shared" si="6"/>
        <v>Produktion der Solaranlage:</v>
      </c>
      <c r="C417" s="364" t="s">
        <v>53</v>
      </c>
      <c r="D417" s="374" t="s">
        <v>443</v>
      </c>
      <c r="E417" s="365" t="s">
        <v>931</v>
      </c>
    </row>
    <row r="418" spans="1:5" ht="12.75">
      <c r="A418" s="352">
        <v>412</v>
      </c>
      <c r="B418" s="350" t="str">
        <f t="shared" si="6"/>
        <v>Zu deckender Bedarf</v>
      </c>
      <c r="C418" s="364" t="s">
        <v>1137</v>
      </c>
      <c r="D418" s="374" t="s">
        <v>444</v>
      </c>
      <c r="E418" s="365" t="s">
        <v>932</v>
      </c>
    </row>
    <row r="419" spans="1:5" ht="12.75">
      <c r="A419" s="352">
        <v>413</v>
      </c>
      <c r="B419" s="350">
        <f t="shared" si="6"/>
        <v>0</v>
      </c>
      <c r="C419" s="364"/>
      <c r="D419" s="374"/>
      <c r="E419" s="365"/>
    </row>
    <row r="420" spans="1:5" ht="24">
      <c r="A420" s="352">
        <v>414</v>
      </c>
      <c r="B420" s="350" t="str">
        <f t="shared" si="6"/>
        <v>Nettobeitrag der Solaranlage</v>
      </c>
      <c r="C420" s="364" t="s">
        <v>54</v>
      </c>
      <c r="D420" s="374" t="s">
        <v>446</v>
      </c>
      <c r="E420" s="365" t="s">
        <v>934</v>
      </c>
    </row>
    <row r="421" spans="1:5" ht="12.75" customHeight="1">
      <c r="A421" s="352">
        <v>415</v>
      </c>
      <c r="B421" s="350" t="str">
        <f t="shared" si="6"/>
        <v>Absorberfläche stimmt nicht mit Blatt 'WP' überein</v>
      </c>
      <c r="C421" s="364" t="s">
        <v>447</v>
      </c>
      <c r="D421" s="374" t="s">
        <v>240</v>
      </c>
      <c r="E421" s="365" t="s">
        <v>935</v>
      </c>
    </row>
    <row r="422" spans="1:5" ht="12.75">
      <c r="A422" s="352">
        <v>416</v>
      </c>
      <c r="B422" s="350" t="str">
        <f t="shared" si="6"/>
        <v>Wärmepumpe (WP)</v>
      </c>
      <c r="C422" s="364" t="s">
        <v>55</v>
      </c>
      <c r="D422" s="374" t="s">
        <v>448</v>
      </c>
      <c r="E422" s="365" t="s">
        <v>936</v>
      </c>
    </row>
    <row r="423" spans="1:5" ht="12.75">
      <c r="A423" s="352">
        <v>417</v>
      </c>
      <c r="B423" s="350" t="str">
        <f t="shared" si="6"/>
        <v>Anlage (Bezeichnung):</v>
      </c>
      <c r="C423" s="364" t="s">
        <v>48</v>
      </c>
      <c r="D423" s="374" t="s">
        <v>439</v>
      </c>
      <c r="E423" s="365" t="s">
        <v>937</v>
      </c>
    </row>
    <row r="424" spans="1:5" ht="12.75">
      <c r="A424" s="352">
        <v>418</v>
      </c>
      <c r="B424" s="350" t="str">
        <f t="shared" si="6"/>
        <v>Wärmequelle</v>
      </c>
      <c r="C424" s="364" t="s">
        <v>1051</v>
      </c>
      <c r="D424" s="374" t="s">
        <v>322</v>
      </c>
      <c r="E424" s="365" t="s">
        <v>938</v>
      </c>
    </row>
    <row r="425" spans="1:5" ht="12.75" customHeight="1">
      <c r="A425" s="352">
        <v>419</v>
      </c>
      <c r="B425" s="350" t="str">
        <f t="shared" si="6"/>
        <v>Einsatz (Heizung oder Warmwasser)</v>
      </c>
      <c r="C425" s="364" t="s">
        <v>1136</v>
      </c>
      <c r="D425" s="374" t="s">
        <v>440</v>
      </c>
      <c r="E425" s="365" t="s">
        <v>928</v>
      </c>
    </row>
    <row r="426" spans="1:5" ht="24">
      <c r="A426" s="352">
        <v>420</v>
      </c>
      <c r="B426" s="350" t="str">
        <f t="shared" si="6"/>
        <v>bei Wärmepumpen-Boiler</v>
      </c>
      <c r="C426" s="364" t="s">
        <v>484</v>
      </c>
      <c r="D426" s="374" t="s">
        <v>449</v>
      </c>
      <c r="E426" s="365" t="s">
        <v>939</v>
      </c>
    </row>
    <row r="427" spans="1:5" ht="12.75" customHeight="1">
      <c r="A427" s="352">
        <v>421</v>
      </c>
      <c r="B427" s="350" t="str">
        <f t="shared" si="6"/>
        <v>Jahresarbeitszahl (ohne weitere Berechnung):</v>
      </c>
      <c r="C427" s="364" t="s">
        <v>56</v>
      </c>
      <c r="D427" s="374" t="s">
        <v>450</v>
      </c>
      <c r="E427" s="365" t="s">
        <v>940</v>
      </c>
    </row>
    <row r="428" spans="1:5" ht="12.75" customHeight="1">
      <c r="A428" s="352">
        <v>422</v>
      </c>
      <c r="B428" s="350">
        <f t="shared" si="6"/>
        <v>0</v>
      </c>
      <c r="C428" s="364"/>
      <c r="D428" s="374"/>
      <c r="E428" s="365"/>
    </row>
    <row r="429" spans="1:5" ht="12.75">
      <c r="A429" s="352">
        <v>423</v>
      </c>
      <c r="B429" s="350">
        <f t="shared" si="6"/>
        <v>0</v>
      </c>
      <c r="C429" s="367"/>
      <c r="D429" s="376"/>
      <c r="E429" s="378"/>
    </row>
    <row r="430" spans="1:5" ht="24">
      <c r="A430" s="352">
        <v>424</v>
      </c>
      <c r="B430" s="350" t="str">
        <f t="shared" si="6"/>
        <v>Mittlere elektrische Leistungsaufnahme der WP:</v>
      </c>
      <c r="C430" s="364" t="s">
        <v>57</v>
      </c>
      <c r="D430" s="374" t="s">
        <v>451</v>
      </c>
      <c r="E430" s="365" t="s">
        <v>941</v>
      </c>
    </row>
    <row r="431" spans="1:5" ht="12.75" customHeight="1">
      <c r="A431" s="352">
        <v>425</v>
      </c>
      <c r="B431" s="350" t="str">
        <f t="shared" si="6"/>
        <v>Voll-Betriebsstunden bezogen auf mittl. Leistung:</v>
      </c>
      <c r="C431" s="364" t="s">
        <v>58</v>
      </c>
      <c r="D431" s="374" t="s">
        <v>994</v>
      </c>
      <c r="E431" s="365" t="s">
        <v>942</v>
      </c>
    </row>
    <row r="432" spans="1:5" ht="12.75" customHeight="1">
      <c r="A432" s="352">
        <v>426</v>
      </c>
      <c r="B432" s="350" t="str">
        <f t="shared" si="6"/>
        <v>Zu deckender Bedarf  für Heizung</v>
      </c>
      <c r="C432" s="364" t="s">
        <v>59</v>
      </c>
      <c r="D432" s="374" t="s">
        <v>452</v>
      </c>
      <c r="E432" s="365" t="s">
        <v>943</v>
      </c>
    </row>
    <row r="433" spans="1:5" ht="24">
      <c r="A433" s="352">
        <v>427</v>
      </c>
      <c r="B433" s="350" t="str">
        <f t="shared" si="6"/>
        <v>Zu deckender Bedarf  für Warmwasser</v>
      </c>
      <c r="C433" s="364" t="s">
        <v>382</v>
      </c>
      <c r="D433" s="374" t="s">
        <v>453</v>
      </c>
      <c r="E433" s="365" t="s">
        <v>944</v>
      </c>
    </row>
    <row r="434" spans="1:5" ht="12.75" customHeight="1">
      <c r="A434" s="352">
        <v>428</v>
      </c>
      <c r="B434" s="350" t="str">
        <f t="shared" si="6"/>
        <v>Zu deckender Bedarf (Heizung und Warmwasser)</v>
      </c>
      <c r="C434" s="364" t="s">
        <v>383</v>
      </c>
      <c r="D434" s="374" t="s">
        <v>454</v>
      </c>
      <c r="E434" s="365" t="s">
        <v>945</v>
      </c>
    </row>
    <row r="435" spans="1:5" ht="12.75" customHeight="1">
      <c r="A435" s="352">
        <v>429</v>
      </c>
      <c r="B435" s="350" t="str">
        <f t="shared" si="6"/>
        <v>Wärmeproduktion der WP:</v>
      </c>
      <c r="C435" s="364" t="s">
        <v>384</v>
      </c>
      <c r="D435" s="374" t="s">
        <v>455</v>
      </c>
      <c r="E435" s="365" t="s">
        <v>946</v>
      </c>
    </row>
    <row r="436" spans="1:5" ht="12.75" customHeight="1">
      <c r="A436" s="352">
        <v>430</v>
      </c>
      <c r="B436" s="350" t="str">
        <f t="shared" si="6"/>
        <v>Wärme-Beitrag der WP an Heizung und Warmwasser</v>
      </c>
      <c r="C436" s="364" t="s">
        <v>385</v>
      </c>
      <c r="D436" s="374" t="s">
        <v>456</v>
      </c>
      <c r="E436" s="365" t="s">
        <v>947</v>
      </c>
    </row>
    <row r="437" spans="1:5" ht="12.75" customHeight="1">
      <c r="A437" s="352">
        <v>431</v>
      </c>
      <c r="B437" s="350" t="str">
        <f t="shared" si="6"/>
        <v>Anteil der durch die Wärmepumpe gedeckt wird:</v>
      </c>
      <c r="C437" s="364" t="s">
        <v>386</v>
      </c>
      <c r="D437" s="374" t="s">
        <v>457</v>
      </c>
      <c r="E437" s="365" t="s">
        <v>948</v>
      </c>
    </row>
    <row r="438" spans="1:5" ht="24">
      <c r="A438" s="352">
        <v>432</v>
      </c>
      <c r="B438" s="350" t="str">
        <f t="shared" si="6"/>
        <v>Strombedarf der WP</v>
      </c>
      <c r="C438" s="364" t="s">
        <v>387</v>
      </c>
      <c r="D438" s="374" t="s">
        <v>458</v>
      </c>
      <c r="E438" s="365" t="s">
        <v>949</v>
      </c>
    </row>
    <row r="439" spans="1:5" ht="12.75">
      <c r="A439" s="352">
        <v>433</v>
      </c>
      <c r="B439" s="350" t="str">
        <f t="shared" si="6"/>
        <v>Holzheizungen</v>
      </c>
      <c r="C439" s="364" t="s">
        <v>388</v>
      </c>
      <c r="D439" s="374" t="s">
        <v>745</v>
      </c>
      <c r="E439" s="365" t="s">
        <v>882</v>
      </c>
    </row>
    <row r="440" spans="1:5" ht="12.75">
      <c r="A440" s="352">
        <v>434</v>
      </c>
      <c r="B440" s="350" t="str">
        <f t="shared" si="6"/>
        <v>Anlage (Bezeichnung):</v>
      </c>
      <c r="C440" s="364" t="s">
        <v>48</v>
      </c>
      <c r="D440" s="374" t="s">
        <v>439</v>
      </c>
      <c r="E440" s="365" t="s">
        <v>937</v>
      </c>
    </row>
    <row r="441" spans="1:5" ht="36">
      <c r="A441" s="352">
        <v>435</v>
      </c>
      <c r="B441" s="350" t="str">
        <f t="shared" si="6"/>
        <v>Sind Speicher+Holzlager vorhanden?</v>
      </c>
      <c r="C441" s="364" t="s">
        <v>485</v>
      </c>
      <c r="D441" s="374" t="s">
        <v>459</v>
      </c>
      <c r="E441" s="365" t="s">
        <v>950</v>
      </c>
    </row>
    <row r="442" spans="1:5" ht="24">
      <c r="A442" s="352">
        <v>436</v>
      </c>
      <c r="B442" s="350" t="str">
        <f t="shared" si="6"/>
        <v>Produktion der Holzheizung:</v>
      </c>
      <c r="C442" s="364" t="s">
        <v>389</v>
      </c>
      <c r="D442" s="374" t="s">
        <v>460</v>
      </c>
      <c r="E442" s="365" t="s">
        <v>951</v>
      </c>
    </row>
    <row r="443" spans="1:5" ht="24">
      <c r="A443" s="352">
        <v>437</v>
      </c>
      <c r="B443" s="350" t="str">
        <f t="shared" si="6"/>
        <v>Zu deckender Bedarf (Heizung und Warmwasser)</v>
      </c>
      <c r="C443" s="364" t="s">
        <v>383</v>
      </c>
      <c r="D443" s="374" t="s">
        <v>461</v>
      </c>
      <c r="E443" s="365" t="s">
        <v>952</v>
      </c>
    </row>
    <row r="444" spans="1:5" ht="24">
      <c r="A444" s="352">
        <v>438</v>
      </c>
      <c r="B444" s="350" t="str">
        <f t="shared" si="6"/>
        <v>Nettobeitrag der Holzheizung</v>
      </c>
      <c r="C444" s="364" t="s">
        <v>390</v>
      </c>
      <c r="D444" s="374" t="s">
        <v>462</v>
      </c>
      <c r="E444" s="365" t="s">
        <v>953</v>
      </c>
    </row>
    <row r="445" spans="1:5" ht="12.75" customHeight="1">
      <c r="A445" s="352">
        <v>439</v>
      </c>
      <c r="B445" s="350" t="str">
        <f t="shared" si="6"/>
        <v>Abwärmenutzung</v>
      </c>
      <c r="C445" s="364" t="s">
        <v>25</v>
      </c>
      <c r="D445" s="374" t="s">
        <v>747</v>
      </c>
      <c r="E445" s="365" t="s">
        <v>954</v>
      </c>
    </row>
    <row r="446" spans="1:5" ht="12.75">
      <c r="A446" s="352">
        <v>440</v>
      </c>
      <c r="B446" s="350" t="str">
        <f t="shared" si="6"/>
        <v>Anlage (Bezeichnung):</v>
      </c>
      <c r="C446" s="364" t="s">
        <v>48</v>
      </c>
      <c r="D446" s="374" t="s">
        <v>439</v>
      </c>
      <c r="E446" s="365" t="s">
        <v>937</v>
      </c>
    </row>
    <row r="447" spans="1:5" ht="36">
      <c r="A447" s="352">
        <v>441</v>
      </c>
      <c r="B447" s="350" t="str">
        <f t="shared" si="6"/>
        <v>Wärmeproduktion der Abwärmenutzung:</v>
      </c>
      <c r="C447" s="364" t="s">
        <v>391</v>
      </c>
      <c r="D447" s="374" t="s">
        <v>463</v>
      </c>
      <c r="E447" s="365" t="s">
        <v>955</v>
      </c>
    </row>
    <row r="448" spans="1:5" ht="36">
      <c r="A448" s="352">
        <v>442</v>
      </c>
      <c r="B448" s="350" t="str">
        <f t="shared" si="6"/>
        <v>Stromaufwand der Abwärmenutzung:</v>
      </c>
      <c r="C448" s="364" t="s">
        <v>392</v>
      </c>
      <c r="D448" s="374" t="s">
        <v>464</v>
      </c>
      <c r="E448" s="365" t="s">
        <v>956</v>
      </c>
    </row>
    <row r="449" spans="1:5" ht="24">
      <c r="A449" s="352">
        <v>443</v>
      </c>
      <c r="B449" s="350" t="str">
        <f t="shared" si="6"/>
        <v>Zu deckender Bedarf (Heizung und Warmwasser)</v>
      </c>
      <c r="C449" s="364" t="s">
        <v>383</v>
      </c>
      <c r="D449" s="374" t="s">
        <v>454</v>
      </c>
      <c r="E449" s="365" t="s">
        <v>952</v>
      </c>
    </row>
    <row r="450" spans="1:5" ht="36">
      <c r="A450" s="352">
        <v>444</v>
      </c>
      <c r="B450" s="350" t="str">
        <f t="shared" si="6"/>
        <v>Wärme-Beitrag der Abwärmenutzung</v>
      </c>
      <c r="C450" s="364" t="s">
        <v>393</v>
      </c>
      <c r="D450" s="374" t="s">
        <v>465</v>
      </c>
      <c r="E450" s="365" t="s">
        <v>957</v>
      </c>
    </row>
    <row r="451" spans="1:5" ht="24">
      <c r="A451" s="352">
        <v>445</v>
      </c>
      <c r="B451" s="350" t="str">
        <f t="shared" si="6"/>
        <v>Andere erneuerbare Energien</v>
      </c>
      <c r="C451" s="364" t="s">
        <v>394</v>
      </c>
      <c r="D451" s="374" t="s">
        <v>746</v>
      </c>
      <c r="E451" s="365" t="s">
        <v>883</v>
      </c>
    </row>
    <row r="452" spans="1:5" ht="12.75">
      <c r="A452" s="352">
        <v>446</v>
      </c>
      <c r="B452" s="350" t="str">
        <f t="shared" si="6"/>
        <v>Anlage (Bezeichnung):</v>
      </c>
      <c r="C452" s="364" t="s">
        <v>48</v>
      </c>
      <c r="D452" s="374" t="s">
        <v>439</v>
      </c>
      <c r="E452" s="365" t="s">
        <v>937</v>
      </c>
    </row>
    <row r="453" spans="1:5" ht="24">
      <c r="A453" s="352">
        <v>447</v>
      </c>
      <c r="B453" s="350" t="str">
        <f t="shared" si="6"/>
        <v>Wärmeproduktion der Anlage:</v>
      </c>
      <c r="C453" s="364" t="s">
        <v>395</v>
      </c>
      <c r="D453" s="374" t="s">
        <v>466</v>
      </c>
      <c r="E453" s="365" t="s">
        <v>958</v>
      </c>
    </row>
    <row r="454" spans="1:5" ht="24">
      <c r="A454" s="352">
        <v>448</v>
      </c>
      <c r="B454" s="350" t="str">
        <f t="shared" si="6"/>
        <v>Stromproduktion der Anlage:</v>
      </c>
      <c r="C454" s="364" t="s">
        <v>396</v>
      </c>
      <c r="D454" s="374" t="s">
        <v>467</v>
      </c>
      <c r="E454" s="365" t="s">
        <v>255</v>
      </c>
    </row>
    <row r="455" spans="1:5" ht="12.75" customHeight="1">
      <c r="A455" s="352">
        <v>449</v>
      </c>
      <c r="B455" s="350" t="str">
        <f t="shared" si="6"/>
        <v>Stromaufwand für diese Energieproduktion:</v>
      </c>
      <c r="C455" s="364" t="s">
        <v>397</v>
      </c>
      <c r="D455" s="374" t="s">
        <v>468</v>
      </c>
      <c r="E455" s="365" t="s">
        <v>256</v>
      </c>
    </row>
    <row r="456" spans="1:5" ht="24">
      <c r="A456" s="352">
        <v>450</v>
      </c>
      <c r="B456" s="350" t="str">
        <f aca="true" t="shared" si="7" ref="B456:B519">IF(F456&lt;&gt;"",F456,INDEX($C$7:$F$1003,A456,$C$2))</f>
        <v>Voll-Betriebsstunden bezogen auf mittl. Leistung:</v>
      </c>
      <c r="C456" s="364" t="s">
        <v>58</v>
      </c>
      <c r="D456" s="374" t="s">
        <v>469</v>
      </c>
      <c r="E456" s="365" t="s">
        <v>257</v>
      </c>
    </row>
    <row r="457" spans="1:5" ht="12.75" customHeight="1">
      <c r="A457" s="352">
        <v>451</v>
      </c>
      <c r="B457" s="350" t="str">
        <f t="shared" si="7"/>
        <v>Zu deckender Bedarf (Heizung und Warmwasser)</v>
      </c>
      <c r="C457" s="364" t="s">
        <v>383</v>
      </c>
      <c r="D457" s="374" t="s">
        <v>454</v>
      </c>
      <c r="E457" s="365" t="s">
        <v>952</v>
      </c>
    </row>
    <row r="458" spans="1:5" ht="36">
      <c r="A458" s="352">
        <v>452</v>
      </c>
      <c r="B458" s="350" t="str">
        <f t="shared" si="7"/>
        <v>Wärme-Beitrag der anderen erneuerbaren Energien</v>
      </c>
      <c r="C458" s="364" t="s">
        <v>398</v>
      </c>
      <c r="D458" s="374" t="s">
        <v>470</v>
      </c>
      <c r="E458" s="365" t="s">
        <v>258</v>
      </c>
    </row>
    <row r="459" spans="1:5" ht="36">
      <c r="A459" s="352">
        <v>453</v>
      </c>
      <c r="B459" s="350" t="str">
        <f t="shared" si="7"/>
        <v>Strom-Beitrag der anderen erneuerbaren Energien</v>
      </c>
      <c r="C459" s="364" t="s">
        <v>399</v>
      </c>
      <c r="D459" s="374" t="s">
        <v>471</v>
      </c>
      <c r="E459" s="365" t="s">
        <v>259</v>
      </c>
    </row>
    <row r="460" spans="1:5" ht="12.75">
      <c r="A460" s="352">
        <v>454</v>
      </c>
      <c r="B460" s="350" t="str">
        <f t="shared" si="7"/>
        <v>Heizung</v>
      </c>
      <c r="C460" s="364" t="s">
        <v>431</v>
      </c>
      <c r="D460" s="374" t="s">
        <v>639</v>
      </c>
      <c r="E460" s="365" t="s">
        <v>161</v>
      </c>
    </row>
    <row r="461" spans="1:5" ht="12.75">
      <c r="A461" s="352">
        <v>455</v>
      </c>
      <c r="B461" s="350" t="str">
        <f t="shared" si="7"/>
        <v>Warmwasser</v>
      </c>
      <c r="C461" s="364" t="s">
        <v>432</v>
      </c>
      <c r="D461" s="374" t="s">
        <v>640</v>
      </c>
      <c r="E461" s="365" t="s">
        <v>260</v>
      </c>
    </row>
    <row r="462" spans="1:5" ht="12.75">
      <c r="A462" s="352">
        <v>456</v>
      </c>
      <c r="B462" s="350" t="str">
        <f t="shared" si="7"/>
        <v>Heizung + Warmwasser</v>
      </c>
      <c r="C462" s="364" t="s">
        <v>1134</v>
      </c>
      <c r="D462" s="374" t="s">
        <v>94</v>
      </c>
      <c r="E462" s="365" t="s">
        <v>163</v>
      </c>
    </row>
    <row r="463" spans="1:5" ht="12.75">
      <c r="A463" s="352">
        <v>457</v>
      </c>
      <c r="B463" s="350" t="str">
        <f t="shared" si="7"/>
        <v>Luft</v>
      </c>
      <c r="C463" s="364" t="s">
        <v>1139</v>
      </c>
      <c r="D463" s="374" t="s">
        <v>95</v>
      </c>
      <c r="E463" s="365" t="s">
        <v>261</v>
      </c>
    </row>
    <row r="464" spans="1:5" ht="12.75">
      <c r="A464" s="352">
        <v>458</v>
      </c>
      <c r="B464" s="350" t="str">
        <f t="shared" si="7"/>
        <v>Erde</v>
      </c>
      <c r="C464" s="364" t="s">
        <v>1140</v>
      </c>
      <c r="D464" s="374" t="s">
        <v>96</v>
      </c>
      <c r="E464" s="365" t="s">
        <v>262</v>
      </c>
    </row>
    <row r="465" spans="1:5" ht="12.75">
      <c r="A465" s="352">
        <v>459</v>
      </c>
      <c r="B465" s="350" t="str">
        <f t="shared" si="7"/>
        <v>Wasser</v>
      </c>
      <c r="C465" s="364" t="s">
        <v>1141</v>
      </c>
      <c r="D465" s="374" t="s">
        <v>97</v>
      </c>
      <c r="E465" s="365" t="s">
        <v>263</v>
      </c>
    </row>
    <row r="466" spans="1:5" ht="24">
      <c r="A466" s="352">
        <v>460</v>
      </c>
      <c r="B466" s="350" t="str">
        <f t="shared" si="7"/>
        <v>Nur Sommerbetrieb</v>
      </c>
      <c r="C466" s="364" t="s">
        <v>1142</v>
      </c>
      <c r="D466" s="374" t="s">
        <v>995</v>
      </c>
      <c r="E466" s="365" t="s">
        <v>264</v>
      </c>
    </row>
    <row r="467" spans="1:5" ht="12.75">
      <c r="A467" s="352">
        <v>461</v>
      </c>
      <c r="B467" s="350" t="str">
        <f t="shared" si="7"/>
        <v>Ganzjahres-Betrieb</v>
      </c>
      <c r="C467" s="364" t="s">
        <v>482</v>
      </c>
      <c r="D467" s="374" t="s">
        <v>98</v>
      </c>
      <c r="E467" s="365" t="s">
        <v>265</v>
      </c>
    </row>
    <row r="468" spans="1:5" ht="12.75">
      <c r="A468" s="352">
        <v>462</v>
      </c>
      <c r="B468" s="350" t="str">
        <f t="shared" si="7"/>
        <v>vorhanden</v>
      </c>
      <c r="C468" s="364" t="s">
        <v>766</v>
      </c>
      <c r="D468" s="374" t="s">
        <v>101</v>
      </c>
      <c r="E468" s="365" t="s">
        <v>266</v>
      </c>
    </row>
    <row r="469" spans="1:5" ht="12.75">
      <c r="A469" s="352">
        <v>463</v>
      </c>
      <c r="B469" s="350" t="str">
        <f t="shared" si="7"/>
        <v>nicht vorhanden</v>
      </c>
      <c r="C469" s="364" t="s">
        <v>767</v>
      </c>
      <c r="D469" s="374" t="s">
        <v>102</v>
      </c>
      <c r="E469" s="365" t="s">
        <v>267</v>
      </c>
    </row>
    <row r="470" spans="1:5" ht="24">
      <c r="A470" s="352">
        <v>464</v>
      </c>
      <c r="B470" s="350" t="str">
        <f t="shared" si="7"/>
        <v>keine Zusatzenergie</v>
      </c>
      <c r="C470" s="364" t="s">
        <v>487</v>
      </c>
      <c r="D470" s="374" t="s">
        <v>99</v>
      </c>
      <c r="E470" s="365" t="s">
        <v>268</v>
      </c>
    </row>
    <row r="471" spans="1:5" ht="24">
      <c r="A471" s="352">
        <v>465</v>
      </c>
      <c r="B471" s="350" t="str">
        <f t="shared" si="7"/>
        <v>Zusatzenergie nötig</v>
      </c>
      <c r="C471" s="364" t="s">
        <v>488</v>
      </c>
      <c r="D471" s="374" t="s">
        <v>100</v>
      </c>
      <c r="E471" s="365" t="s">
        <v>269</v>
      </c>
    </row>
    <row r="472" spans="1:5" ht="12.75">
      <c r="A472" s="352">
        <v>466</v>
      </c>
      <c r="B472" s="350">
        <f t="shared" si="7"/>
        <v>0</v>
      </c>
      <c r="C472" s="364"/>
      <c r="D472" s="374"/>
      <c r="E472" s="365"/>
    </row>
    <row r="473" spans="1:5" ht="36">
      <c r="A473" s="352">
        <v>467</v>
      </c>
      <c r="B473" s="350" t="str">
        <f t="shared" si="7"/>
        <v>Deckungsbeitrag Solaranlage (optional, z.B. aus WPesti)</v>
      </c>
      <c r="C473" s="364" t="s">
        <v>836</v>
      </c>
      <c r="D473" s="374" t="s">
        <v>837</v>
      </c>
      <c r="E473" s="365" t="s">
        <v>838</v>
      </c>
    </row>
    <row r="474" spans="1:5" ht="24">
      <c r="A474" s="352">
        <v>468</v>
      </c>
      <c r="B474" s="350" t="str">
        <f t="shared" si="7"/>
        <v>Deckungsbeitrag Solaranlage (Rechenwert)</v>
      </c>
      <c r="C474" s="364" t="s">
        <v>911</v>
      </c>
      <c r="D474" s="374" t="s">
        <v>445</v>
      </c>
      <c r="E474" s="365" t="s">
        <v>933</v>
      </c>
    </row>
    <row r="475" spans="1:5" ht="36">
      <c r="A475" s="352">
        <v>469</v>
      </c>
      <c r="B475" s="350" t="str">
        <f t="shared" si="7"/>
        <v>Jahresarbeitszahl Heizung  (z.B. aus WPesti, Feld H58)</v>
      </c>
      <c r="C475" s="364" t="s">
        <v>839</v>
      </c>
      <c r="D475" s="408" t="s">
        <v>840</v>
      </c>
      <c r="E475" s="365" t="s">
        <v>841</v>
      </c>
    </row>
    <row r="476" spans="1:5" ht="36">
      <c r="A476" s="352">
        <v>470</v>
      </c>
      <c r="B476" s="350" t="str">
        <f t="shared" si="7"/>
        <v>Deckungsgrad Heizung (z.B. aus WPesti, Feld F58)</v>
      </c>
      <c r="C476" s="364" t="s">
        <v>971</v>
      </c>
      <c r="D476" s="408" t="s">
        <v>842</v>
      </c>
      <c r="E476" s="365" t="s">
        <v>843</v>
      </c>
    </row>
    <row r="477" spans="1:5" ht="36">
      <c r="A477" s="352">
        <v>471</v>
      </c>
      <c r="B477" s="350" t="str">
        <f t="shared" si="7"/>
        <v>Jahresarbeitszahl Warmwasser (z.B. aus WPesti, Feld H59)</v>
      </c>
      <c r="C477" s="364" t="s">
        <v>844</v>
      </c>
      <c r="D477" s="408" t="s">
        <v>845</v>
      </c>
      <c r="E477" s="365" t="s">
        <v>846</v>
      </c>
    </row>
    <row r="478" spans="1:5" ht="24">
      <c r="A478" s="352">
        <v>472</v>
      </c>
      <c r="B478" s="350" t="str">
        <f t="shared" si="7"/>
        <v>Deckungsgrad Warmwasser (z.B. aus WPesti, Feld F59)</v>
      </c>
      <c r="C478" s="364" t="s">
        <v>972</v>
      </c>
      <c r="D478" s="408" t="s">
        <v>847</v>
      </c>
      <c r="E478" s="365" t="s">
        <v>848</v>
      </c>
    </row>
    <row r="479" spans="1:5" ht="12.75">
      <c r="A479" s="352">
        <v>473</v>
      </c>
      <c r="B479" s="350">
        <f t="shared" si="7"/>
        <v>0</v>
      </c>
      <c r="C479" s="364"/>
      <c r="D479" s="374"/>
      <c r="E479" s="365"/>
    </row>
    <row r="480" spans="1:5" ht="12.75">
      <c r="A480" s="352">
        <v>474</v>
      </c>
      <c r="B480" s="350">
        <f t="shared" si="7"/>
        <v>0</v>
      </c>
      <c r="C480" s="364"/>
      <c r="D480" s="374"/>
      <c r="E480" s="365"/>
    </row>
    <row r="481" spans="1:5" ht="12.75">
      <c r="A481" s="352">
        <v>475</v>
      </c>
      <c r="B481" s="350">
        <f t="shared" si="7"/>
        <v>0</v>
      </c>
      <c r="C481" s="364"/>
      <c r="D481" s="374"/>
      <c r="E481" s="365"/>
    </row>
    <row r="482" spans="1:5" ht="12.75">
      <c r="A482" s="352">
        <v>476</v>
      </c>
      <c r="B482" s="350">
        <f t="shared" si="7"/>
        <v>0</v>
      </c>
      <c r="C482" s="364"/>
      <c r="D482" s="374"/>
      <c r="E482" s="365"/>
    </row>
    <row r="483" spans="1:5" ht="12.75">
      <c r="A483" s="352">
        <v>477</v>
      </c>
      <c r="B483" s="350">
        <f t="shared" si="7"/>
        <v>0</v>
      </c>
      <c r="C483" s="364"/>
      <c r="D483" s="374"/>
      <c r="E483" s="365"/>
    </row>
    <row r="484" spans="1:5" ht="12.75">
      <c r="A484" s="352">
        <v>478</v>
      </c>
      <c r="B484" s="350">
        <f t="shared" si="7"/>
        <v>0</v>
      </c>
      <c r="C484" s="364"/>
      <c r="D484" s="374"/>
      <c r="E484" s="365"/>
    </row>
    <row r="485" spans="1:5" ht="21" customHeight="1">
      <c r="A485" s="352">
        <v>479</v>
      </c>
      <c r="B485" s="350" t="str">
        <f t="shared" si="7"/>
        <v>Blatt Lueftungsanlagen</v>
      </c>
      <c r="C485" s="369" t="s">
        <v>313</v>
      </c>
      <c r="D485" s="374"/>
      <c r="E485" s="365"/>
    </row>
    <row r="486" spans="1:5" ht="12.75">
      <c r="A486" s="352">
        <v>480</v>
      </c>
      <c r="B486" s="350" t="str">
        <f t="shared" si="7"/>
        <v>Lueftungsanlagen</v>
      </c>
      <c r="C486" s="364" t="s">
        <v>693</v>
      </c>
      <c r="D486" s="374" t="s">
        <v>996</v>
      </c>
      <c r="E486" s="365" t="s">
        <v>211</v>
      </c>
    </row>
    <row r="487" spans="1:5" ht="12.75">
      <c r="A487" s="352">
        <v>481</v>
      </c>
      <c r="B487" s="350" t="str">
        <f t="shared" si="7"/>
        <v>Projekt:</v>
      </c>
      <c r="C487" s="364" t="s">
        <v>1152</v>
      </c>
      <c r="D487" s="374" t="s">
        <v>648</v>
      </c>
      <c r="E487" s="365" t="s">
        <v>212</v>
      </c>
    </row>
    <row r="488" spans="1:5" ht="12.75" customHeight="1">
      <c r="A488" s="352">
        <v>482</v>
      </c>
      <c r="B488" s="350" t="str">
        <f t="shared" si="7"/>
        <v>Lüftungsanlagen mit Wärmerückgewinnung</v>
      </c>
      <c r="C488" s="364" t="s">
        <v>35</v>
      </c>
      <c r="D488" s="374" t="s">
        <v>472</v>
      </c>
      <c r="E488" s="365" t="s">
        <v>213</v>
      </c>
    </row>
    <row r="489" spans="1:5" ht="12.75">
      <c r="A489" s="352">
        <v>483</v>
      </c>
      <c r="B489" s="350" t="str">
        <f t="shared" si="7"/>
        <v>Thermische Zone</v>
      </c>
      <c r="C489" s="364" t="s">
        <v>416</v>
      </c>
      <c r="D489" s="374" t="s">
        <v>716</v>
      </c>
      <c r="E489" s="365" t="s">
        <v>893</v>
      </c>
    </row>
    <row r="490" spans="1:5" ht="24">
      <c r="A490" s="352">
        <v>484</v>
      </c>
      <c r="B490" s="350" t="str">
        <f t="shared" si="7"/>
        <v>Energiebezugsfläche</v>
      </c>
      <c r="C490" s="364" t="s">
        <v>3</v>
      </c>
      <c r="D490" s="374" t="s">
        <v>719</v>
      </c>
      <c r="E490" s="365" t="s">
        <v>894</v>
      </c>
    </row>
    <row r="491" spans="1:5" ht="12.75" customHeight="1">
      <c r="A491" s="352">
        <v>485</v>
      </c>
      <c r="B491" s="350" t="str">
        <f t="shared" si="7"/>
        <v>mittlere lichte Raumhöhe</v>
      </c>
      <c r="C491" s="364" t="s">
        <v>1133</v>
      </c>
      <c r="D491" s="374" t="s">
        <v>997</v>
      </c>
      <c r="E491" s="365" t="s">
        <v>895</v>
      </c>
    </row>
    <row r="492" spans="1:5" ht="24">
      <c r="A492" s="352">
        <v>486</v>
      </c>
      <c r="B492" s="350" t="str">
        <f t="shared" si="7"/>
        <v>Strombedarf Lüftungsanlage</v>
      </c>
      <c r="C492" s="364" t="s">
        <v>36</v>
      </c>
      <c r="D492" s="374" t="s">
        <v>475</v>
      </c>
      <c r="E492" s="365" t="s">
        <v>896</v>
      </c>
    </row>
    <row r="493" spans="1:5" ht="12.75" customHeight="1">
      <c r="A493" s="352">
        <v>487</v>
      </c>
      <c r="B493" s="350" t="str">
        <f t="shared" si="7"/>
        <v>- Eingabe (Berechnung beilegen)</v>
      </c>
      <c r="C493" s="367" t="s">
        <v>441</v>
      </c>
      <c r="D493" s="376" t="s">
        <v>476</v>
      </c>
      <c r="E493" s="378" t="s">
        <v>897</v>
      </c>
    </row>
    <row r="494" spans="1:5" ht="24">
      <c r="A494" s="352">
        <v>488</v>
      </c>
      <c r="B494" s="350" t="str">
        <f t="shared" si="7"/>
        <v>- gemäss untenstehender Tab.</v>
      </c>
      <c r="C494" s="367" t="s">
        <v>695</v>
      </c>
      <c r="D494" s="376" t="s">
        <v>694</v>
      </c>
      <c r="E494" s="378" t="s">
        <v>986</v>
      </c>
    </row>
    <row r="495" spans="1:5" ht="24">
      <c r="A495" s="352">
        <v>489</v>
      </c>
      <c r="B495" s="350" t="str">
        <f t="shared" si="7"/>
        <v>Wirkungsgrad WRG</v>
      </c>
      <c r="C495" s="364" t="s">
        <v>37</v>
      </c>
      <c r="D495" s="374" t="s">
        <v>241</v>
      </c>
      <c r="E495" s="365" t="s">
        <v>898</v>
      </c>
    </row>
    <row r="496" spans="1:5" ht="12.75" customHeight="1">
      <c r="A496" s="352">
        <v>490</v>
      </c>
      <c r="B496" s="350" t="str">
        <f t="shared" si="7"/>
        <v>Therm.wirksamer Aussenl.-V.str.</v>
      </c>
      <c r="C496" s="364" t="s">
        <v>433</v>
      </c>
      <c r="D496" s="374" t="s">
        <v>478</v>
      </c>
      <c r="E496" s="365" t="s">
        <v>899</v>
      </c>
    </row>
    <row r="497" spans="1:5" ht="12.75" customHeight="1">
      <c r="A497" s="352">
        <v>491</v>
      </c>
      <c r="B497" s="350" t="str">
        <f t="shared" si="7"/>
        <v>(Der thermisch wirksame Aussenluft-Volumenstrom ist in der Heizwärmebedarfsberechnung (SIA 380/1) einzusetzen.)</v>
      </c>
      <c r="C497" s="364" t="s">
        <v>435</v>
      </c>
      <c r="D497" s="374" t="s">
        <v>479</v>
      </c>
      <c r="E497" s="365" t="s">
        <v>900</v>
      </c>
    </row>
    <row r="498" spans="1:5" ht="12.75">
      <c r="A498" s="352">
        <v>492</v>
      </c>
      <c r="B498" s="350" t="str">
        <f t="shared" si="7"/>
        <v>Summe</v>
      </c>
      <c r="C498" s="364" t="s">
        <v>0</v>
      </c>
      <c r="D498" s="374" t="s">
        <v>998</v>
      </c>
      <c r="E498" s="365" t="s">
        <v>901</v>
      </c>
    </row>
    <row r="499" spans="1:5" ht="12.75">
      <c r="A499" s="352">
        <v>493</v>
      </c>
      <c r="B499" s="350" t="str">
        <f t="shared" si="7"/>
        <v>Details für Zone 1</v>
      </c>
      <c r="C499" s="364" t="s">
        <v>423</v>
      </c>
      <c r="D499" s="374" t="s">
        <v>477</v>
      </c>
      <c r="E499" s="365" t="s">
        <v>902</v>
      </c>
    </row>
    <row r="500" spans="1:5" ht="12.75">
      <c r="A500" s="352">
        <v>494</v>
      </c>
      <c r="B500" s="350" t="str">
        <f t="shared" si="7"/>
        <v>Details für Zone 2</v>
      </c>
      <c r="C500" s="364" t="s">
        <v>422</v>
      </c>
      <c r="D500" s="374" t="s">
        <v>88</v>
      </c>
      <c r="E500" s="365" t="s">
        <v>903</v>
      </c>
    </row>
    <row r="501" spans="1:5" ht="12.75">
      <c r="A501" s="352">
        <v>495</v>
      </c>
      <c r="B501" s="350" t="str">
        <f t="shared" si="7"/>
        <v>Details für Zone 3</v>
      </c>
      <c r="C501" s="364" t="s">
        <v>424</v>
      </c>
      <c r="D501" s="374" t="s">
        <v>89</v>
      </c>
      <c r="E501" s="365" t="s">
        <v>904</v>
      </c>
    </row>
    <row r="502" spans="1:5" ht="12.75">
      <c r="A502" s="352">
        <v>496</v>
      </c>
      <c r="B502" s="350" t="str">
        <f t="shared" si="7"/>
        <v>Details für Zone 4</v>
      </c>
      <c r="C502" s="364" t="s">
        <v>425</v>
      </c>
      <c r="D502" s="374" t="s">
        <v>90</v>
      </c>
      <c r="E502" s="365" t="s">
        <v>905</v>
      </c>
    </row>
    <row r="503" spans="1:5" ht="12.75">
      <c r="A503" s="352">
        <v>497</v>
      </c>
      <c r="B503" s="350" t="str">
        <f t="shared" si="7"/>
        <v>Lüftungsanlage (ZUL + ABL):</v>
      </c>
      <c r="C503" s="364" t="s">
        <v>39</v>
      </c>
      <c r="D503" s="374" t="s">
        <v>480</v>
      </c>
      <c r="E503" s="365" t="s">
        <v>211</v>
      </c>
    </row>
    <row r="504" spans="1:5" ht="12.75">
      <c r="A504" s="352">
        <v>498</v>
      </c>
      <c r="B504" s="350" t="str">
        <f t="shared" si="7"/>
        <v>Luftmenge</v>
      </c>
      <c r="C504" s="364" t="s">
        <v>44</v>
      </c>
      <c r="D504" s="374" t="s">
        <v>481</v>
      </c>
      <c r="E504" s="365" t="s">
        <v>906</v>
      </c>
    </row>
    <row r="505" spans="1:5" ht="24">
      <c r="A505" s="352">
        <v>499</v>
      </c>
      <c r="B505" s="350" t="str">
        <f t="shared" si="7"/>
        <v>Elektr. Leistungsaufnahme ZUL+ABL</v>
      </c>
      <c r="C505" s="364" t="s">
        <v>1130</v>
      </c>
      <c r="D505" s="374" t="s">
        <v>80</v>
      </c>
      <c r="E505" s="365" t="s">
        <v>907</v>
      </c>
    </row>
    <row r="506" spans="1:5" ht="24">
      <c r="A506" s="352">
        <v>500</v>
      </c>
      <c r="B506" s="350" t="str">
        <f t="shared" si="7"/>
        <v>Betrieb pro Woche (max. 168h)</v>
      </c>
      <c r="C506" s="364" t="s">
        <v>1020</v>
      </c>
      <c r="D506" s="374" t="s">
        <v>81</v>
      </c>
      <c r="E506" s="365" t="s">
        <v>908</v>
      </c>
    </row>
    <row r="507" spans="1:5" ht="24">
      <c r="A507" s="352">
        <v>501</v>
      </c>
      <c r="B507" s="350" t="str">
        <f t="shared" si="7"/>
        <v>Volumenstrom Lüftungsanlage</v>
      </c>
      <c r="C507" s="364" t="s">
        <v>434</v>
      </c>
      <c r="D507" s="374" t="s">
        <v>82</v>
      </c>
      <c r="E507" s="365" t="s">
        <v>909</v>
      </c>
    </row>
    <row r="508" spans="1:5" ht="24">
      <c r="A508" s="352">
        <v>502</v>
      </c>
      <c r="B508" s="350" t="str">
        <f t="shared" si="7"/>
        <v>Therm.wirksamer Aussenl.-V.str.</v>
      </c>
      <c r="C508" s="364" t="s">
        <v>433</v>
      </c>
      <c r="D508" s="374" t="s">
        <v>478</v>
      </c>
      <c r="E508" s="365" t="s">
        <v>899</v>
      </c>
    </row>
    <row r="509" spans="1:5" ht="12.75">
      <c r="A509" s="352">
        <v>503</v>
      </c>
      <c r="B509" s="350" t="str">
        <f t="shared" si="7"/>
        <v>Luftwechselrate n</v>
      </c>
      <c r="C509" s="364" t="s">
        <v>1131</v>
      </c>
      <c r="D509" s="374" t="s">
        <v>83</v>
      </c>
      <c r="E509" s="365" t="s">
        <v>910</v>
      </c>
    </row>
    <row r="510" spans="1:5" ht="24">
      <c r="A510" s="352">
        <v>504</v>
      </c>
      <c r="B510" s="350" t="str">
        <f t="shared" si="7"/>
        <v>Strombedarf Lüftungsanlage</v>
      </c>
      <c r="C510" s="364" t="s">
        <v>36</v>
      </c>
      <c r="D510" s="374" t="s">
        <v>475</v>
      </c>
      <c r="E510" s="365" t="s">
        <v>987</v>
      </c>
    </row>
    <row r="511" spans="1:5" ht="36">
      <c r="A511" s="352">
        <v>505</v>
      </c>
      <c r="B511" s="350" t="str">
        <f t="shared" si="7"/>
        <v> </v>
      </c>
      <c r="C511" s="364" t="s">
        <v>131</v>
      </c>
      <c r="D511" s="374" t="s">
        <v>91</v>
      </c>
      <c r="E511" s="365" t="s">
        <v>218</v>
      </c>
    </row>
    <row r="512" spans="1:5" ht="36">
      <c r="A512" s="352">
        <v>506</v>
      </c>
      <c r="B512" s="350" t="str">
        <f t="shared" si="7"/>
        <v>Aussenluftvolumenstrom durch Gebäudehülle bei laufender Lüftungsanlage:</v>
      </c>
      <c r="C512" s="364" t="s">
        <v>1127</v>
      </c>
      <c r="D512" s="374" t="s">
        <v>92</v>
      </c>
      <c r="E512" s="365" t="s">
        <v>219</v>
      </c>
    </row>
    <row r="513" spans="1:5" ht="48">
      <c r="A513" s="352">
        <v>507</v>
      </c>
      <c r="B513" s="350" t="str">
        <f t="shared" si="7"/>
        <v>Aussenluftvolumenstrom durch Gebäudehülle bei stillstehender Lüftungsanlage:</v>
      </c>
      <c r="C513" s="364" t="s">
        <v>1128</v>
      </c>
      <c r="D513" s="374" t="s">
        <v>93</v>
      </c>
      <c r="E513" s="365" t="s">
        <v>220</v>
      </c>
    </row>
    <row r="514" spans="1:5" ht="12.75">
      <c r="A514" s="352">
        <v>508</v>
      </c>
      <c r="B514" s="350" t="str">
        <f t="shared" si="7"/>
        <v>Gebäudekategorie: </v>
      </c>
      <c r="C514" s="364" t="s">
        <v>696</v>
      </c>
      <c r="D514" s="374" t="s">
        <v>697</v>
      </c>
      <c r="E514" s="365" t="s">
        <v>659</v>
      </c>
    </row>
    <row r="515" spans="1:5" ht="12.75">
      <c r="A515" s="352">
        <v>509</v>
      </c>
      <c r="B515" s="350" t="str">
        <f t="shared" si="7"/>
        <v>Aus</v>
      </c>
      <c r="C515" s="364" t="s">
        <v>40</v>
      </c>
      <c r="D515" s="374" t="s">
        <v>84</v>
      </c>
      <c r="E515" s="365" t="s">
        <v>221</v>
      </c>
    </row>
    <row r="516" spans="1:5" ht="12.75">
      <c r="A516" s="352">
        <v>510</v>
      </c>
      <c r="B516" s="350" t="str">
        <f t="shared" si="7"/>
        <v>Stufe 1</v>
      </c>
      <c r="C516" s="364" t="s">
        <v>41</v>
      </c>
      <c r="D516" s="374" t="s">
        <v>85</v>
      </c>
      <c r="E516" s="365" t="s">
        <v>222</v>
      </c>
    </row>
    <row r="517" spans="1:5" ht="12.75">
      <c r="A517" s="352">
        <v>511</v>
      </c>
      <c r="B517" s="350" t="str">
        <f t="shared" si="7"/>
        <v>Stufe 2</v>
      </c>
      <c r="C517" s="364" t="s">
        <v>42</v>
      </c>
      <c r="D517" s="374" t="s">
        <v>86</v>
      </c>
      <c r="E517" s="365" t="s">
        <v>223</v>
      </c>
    </row>
    <row r="518" spans="1:5" ht="12.75">
      <c r="A518" s="352">
        <v>512</v>
      </c>
      <c r="B518" s="350" t="str">
        <f t="shared" si="7"/>
        <v>Stufe 3</v>
      </c>
      <c r="C518" s="364" t="s">
        <v>43</v>
      </c>
      <c r="D518" s="374" t="s">
        <v>87</v>
      </c>
      <c r="E518" s="365" t="s">
        <v>224</v>
      </c>
    </row>
    <row r="519" spans="1:5" ht="12.75">
      <c r="A519" s="352">
        <v>513</v>
      </c>
      <c r="B519" s="350" t="str">
        <f t="shared" si="7"/>
        <v>Betriebszeit:</v>
      </c>
      <c r="C519" s="364" t="s">
        <v>1034</v>
      </c>
      <c r="D519" s="374" t="s">
        <v>473</v>
      </c>
      <c r="E519" s="365" t="s">
        <v>593</v>
      </c>
    </row>
    <row r="520" spans="1:5" ht="12.75">
      <c r="A520" s="352">
        <v>514</v>
      </c>
      <c r="B520" s="350" t="str">
        <f aca="true" t="shared" si="8" ref="B520:B572">IF(F520&lt;&gt;"",F520,INDEX($C$7:$F$1003,A520,$C$2))</f>
        <v>Wochen/a</v>
      </c>
      <c r="C520" s="364" t="s">
        <v>1032</v>
      </c>
      <c r="D520" s="374" t="s">
        <v>474</v>
      </c>
      <c r="E520" s="365" t="s">
        <v>690</v>
      </c>
    </row>
    <row r="521" spans="1:5" ht="12.75">
      <c r="A521" s="352">
        <v>515</v>
      </c>
      <c r="B521" s="350">
        <f t="shared" si="8"/>
        <v>0</v>
      </c>
      <c r="C521" s="364"/>
      <c r="D521" s="374"/>
      <c r="E521" s="365"/>
    </row>
    <row r="522" spans="1:5" ht="12.75">
      <c r="A522" s="352">
        <v>516</v>
      </c>
      <c r="B522" s="350">
        <f t="shared" si="8"/>
        <v>0</v>
      </c>
      <c r="C522" s="364"/>
      <c r="D522" s="374"/>
      <c r="E522" s="365"/>
    </row>
    <row r="523" spans="1:5" ht="12.75">
      <c r="A523" s="352">
        <v>517</v>
      </c>
      <c r="B523" s="350">
        <f t="shared" si="8"/>
        <v>0</v>
      </c>
      <c r="C523" s="364"/>
      <c r="D523" s="374"/>
      <c r="E523" s="365"/>
    </row>
    <row r="524" spans="1:5" ht="12.75">
      <c r="A524" s="352">
        <v>518</v>
      </c>
      <c r="B524" s="350">
        <f t="shared" si="8"/>
        <v>0</v>
      </c>
      <c r="C524" s="364"/>
      <c r="D524" s="374"/>
      <c r="E524" s="365"/>
    </row>
    <row r="525" spans="1:5" ht="12.75">
      <c r="A525" s="352">
        <v>519</v>
      </c>
      <c r="B525" s="350">
        <f t="shared" si="8"/>
        <v>0</v>
      </c>
      <c r="C525" s="364"/>
      <c r="D525" s="374"/>
      <c r="E525" s="365"/>
    </row>
    <row r="526" spans="1:5" ht="12.75">
      <c r="A526" s="352">
        <v>520</v>
      </c>
      <c r="B526" s="350">
        <f t="shared" si="8"/>
        <v>0</v>
      </c>
      <c r="C526" s="364"/>
      <c r="D526" s="374"/>
      <c r="E526" s="365"/>
    </row>
    <row r="527" spans="1:5" ht="12.75">
      <c r="A527" s="352">
        <v>521</v>
      </c>
      <c r="B527" s="350">
        <f t="shared" si="8"/>
        <v>0</v>
      </c>
      <c r="C527" s="364"/>
      <c r="D527" s="374"/>
      <c r="E527" s="365"/>
    </row>
    <row r="528" spans="1:5" ht="12.75">
      <c r="A528" s="352">
        <v>522</v>
      </c>
      <c r="B528" s="350">
        <f t="shared" si="8"/>
        <v>0</v>
      </c>
      <c r="C528" s="364"/>
      <c r="D528" s="374"/>
      <c r="E528" s="365"/>
    </row>
    <row r="529" spans="1:5" ht="12.75">
      <c r="A529" s="352">
        <v>523</v>
      </c>
      <c r="B529" s="350">
        <f t="shared" si="8"/>
        <v>0</v>
      </c>
      <c r="C529" s="364"/>
      <c r="D529" s="374"/>
      <c r="E529" s="365"/>
    </row>
    <row r="530" spans="1:5" ht="12.75">
      <c r="A530" s="352">
        <v>524</v>
      </c>
      <c r="B530" s="350">
        <f t="shared" si="8"/>
        <v>0</v>
      </c>
      <c r="C530" s="364"/>
      <c r="D530" s="374"/>
      <c r="E530" s="365"/>
    </row>
    <row r="531" spans="1:5" ht="12.75">
      <c r="A531" s="352">
        <v>525</v>
      </c>
      <c r="B531" s="350">
        <f t="shared" si="8"/>
        <v>0</v>
      </c>
      <c r="C531" s="364"/>
      <c r="D531" s="374"/>
      <c r="E531" s="365"/>
    </row>
    <row r="532" spans="1:5" ht="12.75">
      <c r="A532" s="352">
        <v>526</v>
      </c>
      <c r="B532" s="350">
        <f t="shared" si="8"/>
        <v>0</v>
      </c>
      <c r="C532" s="364"/>
      <c r="D532" s="374"/>
      <c r="E532" s="365"/>
    </row>
    <row r="533" spans="1:5" ht="12.75">
      <c r="A533" s="352">
        <v>527</v>
      </c>
      <c r="B533" s="350">
        <f t="shared" si="8"/>
        <v>0</v>
      </c>
      <c r="C533" s="364"/>
      <c r="D533" s="374"/>
      <c r="E533" s="365"/>
    </row>
    <row r="534" spans="1:5" ht="12.75">
      <c r="A534" s="352">
        <v>528</v>
      </c>
      <c r="B534" s="350">
        <f t="shared" si="8"/>
        <v>0</v>
      </c>
      <c r="C534" s="364"/>
      <c r="D534" s="374"/>
      <c r="E534" s="365"/>
    </row>
    <row r="535" spans="1:5" ht="12.75">
      <c r="A535" s="352">
        <v>529</v>
      </c>
      <c r="B535" s="350" t="str">
        <f t="shared" si="8"/>
        <v>Blatt Resultat grafisch</v>
      </c>
      <c r="C535" s="369" t="s">
        <v>314</v>
      </c>
      <c r="D535" s="374"/>
      <c r="E535" s="365"/>
    </row>
    <row r="536" spans="1:5" ht="12.75">
      <c r="A536" s="352">
        <v>530</v>
      </c>
      <c r="B536" s="350" t="str">
        <f t="shared" si="8"/>
        <v>Resultat grafisch</v>
      </c>
      <c r="C536" s="364" t="s">
        <v>699</v>
      </c>
      <c r="D536" s="374" t="s">
        <v>700</v>
      </c>
      <c r="E536" s="365" t="s">
        <v>976</v>
      </c>
    </row>
    <row r="537" spans="1:5" ht="12.75">
      <c r="A537" s="352">
        <v>531</v>
      </c>
      <c r="B537" s="350" t="str">
        <f t="shared" si="8"/>
        <v>Projekt:</v>
      </c>
      <c r="C537" s="364" t="s">
        <v>1152</v>
      </c>
      <c r="D537" s="374" t="s">
        <v>648</v>
      </c>
      <c r="E537" s="365" t="s">
        <v>656</v>
      </c>
    </row>
    <row r="538" spans="1:5" ht="48">
      <c r="A538" s="352">
        <v>532</v>
      </c>
      <c r="B538" s="350" t="str">
        <f t="shared" si="8"/>
        <v>Wärmedämmung ungenügend! --&gt; Wärmedämmvorschriften (Seite 2)</v>
      </c>
      <c r="C538" s="364" t="s">
        <v>701</v>
      </c>
      <c r="D538" s="374" t="s">
        <v>702</v>
      </c>
      <c r="E538" s="365" t="s">
        <v>977</v>
      </c>
    </row>
    <row r="539" spans="1:5" ht="12.75">
      <c r="A539" s="352">
        <v>533</v>
      </c>
      <c r="B539" s="350" t="str">
        <f t="shared" si="8"/>
        <v>Resultat:  </v>
      </c>
      <c r="C539" s="364" t="s">
        <v>703</v>
      </c>
      <c r="D539" s="374" t="s">
        <v>704</v>
      </c>
      <c r="E539" s="365" t="s">
        <v>978</v>
      </c>
    </row>
    <row r="540" spans="1:5" ht="12.75">
      <c r="A540" s="352">
        <v>534</v>
      </c>
      <c r="B540" s="350" t="str">
        <f t="shared" si="8"/>
        <v>Deckung (</v>
      </c>
      <c r="C540" s="364" t="s">
        <v>705</v>
      </c>
      <c r="D540" s="374" t="s">
        <v>706</v>
      </c>
      <c r="E540" s="365" t="s">
        <v>979</v>
      </c>
    </row>
    <row r="541" spans="1:5" ht="12.75">
      <c r="A541" s="352">
        <v>535</v>
      </c>
      <c r="B541" s="350" t="str">
        <f t="shared" si="8"/>
        <v>Anforderung (</v>
      </c>
      <c r="C541" s="364" t="s">
        <v>707</v>
      </c>
      <c r="D541" s="374" t="s">
        <v>708</v>
      </c>
      <c r="E541" s="365" t="s">
        <v>980</v>
      </c>
    </row>
    <row r="542" spans="1:5" ht="24">
      <c r="A542" s="352">
        <v>536</v>
      </c>
      <c r="B542" s="350" t="str">
        <f t="shared" si="8"/>
        <v> d.h. nicht erfüllt !!!</v>
      </c>
      <c r="C542" s="364" t="s">
        <v>709</v>
      </c>
      <c r="D542" s="374" t="s">
        <v>215</v>
      </c>
      <c r="E542" s="365" t="s">
        <v>981</v>
      </c>
    </row>
    <row r="543" spans="1:5" ht="12.75">
      <c r="A543" s="352">
        <v>537</v>
      </c>
      <c r="B543" s="350" t="str">
        <f t="shared" si="8"/>
        <v> d.h. erfüllt !</v>
      </c>
      <c r="C543" s="364" t="s">
        <v>710</v>
      </c>
      <c r="D543" s="374" t="s">
        <v>216</v>
      </c>
      <c r="E543" s="365" t="s">
        <v>982</v>
      </c>
    </row>
    <row r="544" spans="1:5" ht="12.75">
      <c r="A544" s="352">
        <v>538</v>
      </c>
      <c r="B544" s="350" t="str">
        <f t="shared" si="8"/>
        <v>Angaben in MJ/m2a</v>
      </c>
      <c r="C544" s="364" t="s">
        <v>594</v>
      </c>
      <c r="D544" s="374" t="s">
        <v>595</v>
      </c>
      <c r="E544" s="365" t="s">
        <v>983</v>
      </c>
    </row>
    <row r="545" spans="1:5" ht="48">
      <c r="A545" s="352">
        <v>539</v>
      </c>
      <c r="B545" s="350" t="str">
        <f t="shared" si="8"/>
        <v>Deckung mit nichterneuerbarer Energie zulässig (Höchstanteil nichterneuerb. E.)</v>
      </c>
      <c r="C545" s="364" t="s">
        <v>596</v>
      </c>
      <c r="D545" s="374" t="s">
        <v>597</v>
      </c>
      <c r="E545" s="365" t="s">
        <v>984</v>
      </c>
    </row>
    <row r="546" spans="1:5" ht="60">
      <c r="A546" s="352">
        <v>540</v>
      </c>
      <c r="B546" s="350" t="str">
        <f t="shared" si="8"/>
        <v>Deckung durch bessere Wärmedämmung erneuerbare Energie oder Abwärme</v>
      </c>
      <c r="C546" s="364" t="s">
        <v>598</v>
      </c>
      <c r="D546" s="374" t="s">
        <v>599</v>
      </c>
      <c r="E546" s="365" t="s">
        <v>832</v>
      </c>
    </row>
    <row r="547" spans="1:5" ht="24">
      <c r="A547" s="352">
        <v>541</v>
      </c>
      <c r="B547" s="350" t="str">
        <f t="shared" si="8"/>
        <v>Warmwasserbedarf (Qww)</v>
      </c>
      <c r="C547" s="364" t="s">
        <v>33</v>
      </c>
      <c r="D547" s="374" t="s">
        <v>600</v>
      </c>
      <c r="E547" s="365" t="s">
        <v>833</v>
      </c>
    </row>
    <row r="548" spans="1:5" ht="36">
      <c r="A548" s="352">
        <v>542</v>
      </c>
      <c r="B548" s="350" t="str">
        <f t="shared" si="8"/>
        <v>Grenzwert Heizenergiebedarf (Qh,li)</v>
      </c>
      <c r="C548" s="364" t="s">
        <v>601</v>
      </c>
      <c r="D548" s="374" t="s">
        <v>602</v>
      </c>
      <c r="E548" s="365" t="s">
        <v>834</v>
      </c>
    </row>
    <row r="549" spans="1:5" ht="24">
      <c r="A549" s="352">
        <v>543</v>
      </c>
      <c r="B549" s="350" t="str">
        <f t="shared" si="8"/>
        <v>Deckung durch nichterneuerbare Energie</v>
      </c>
      <c r="C549" s="364" t="s">
        <v>603</v>
      </c>
      <c r="D549" s="374" t="s">
        <v>604</v>
      </c>
      <c r="E549" s="365" t="s">
        <v>835</v>
      </c>
    </row>
    <row r="550" spans="1:5" ht="48">
      <c r="A550" s="352">
        <v>544</v>
      </c>
      <c r="B550" s="350" t="str">
        <f t="shared" si="8"/>
        <v>evtl.: Beitrag erneuerbare Energie (Netto! Strom doppelt gewichtet)</v>
      </c>
      <c r="C550" s="364" t="s">
        <v>605</v>
      </c>
      <c r="D550" s="374" t="s">
        <v>606</v>
      </c>
      <c r="E550" s="365" t="s">
        <v>197</v>
      </c>
    </row>
    <row r="551" spans="1:5" ht="48">
      <c r="A551" s="352">
        <v>545</v>
      </c>
      <c r="B551" s="350" t="str">
        <f t="shared" si="8"/>
        <v>falls vorhanden: Strombedarf mech. Lüftungsanlagen (doppelt gewichtet)</v>
      </c>
      <c r="C551" s="364" t="s">
        <v>607</v>
      </c>
      <c r="D551" s="374" t="s">
        <v>608</v>
      </c>
      <c r="E551" s="365" t="s">
        <v>198</v>
      </c>
    </row>
    <row r="552" spans="1:5" ht="24">
      <c r="A552" s="352">
        <v>546</v>
      </c>
      <c r="B552" s="350" t="str">
        <f t="shared" si="8"/>
        <v>Warmwasserbedarf (Qww)</v>
      </c>
      <c r="C552" s="364" t="s">
        <v>33</v>
      </c>
      <c r="D552" s="374" t="s">
        <v>600</v>
      </c>
      <c r="E552" s="365" t="s">
        <v>833</v>
      </c>
    </row>
    <row r="553" spans="1:5" ht="24">
      <c r="A553" s="352">
        <v>547</v>
      </c>
      <c r="B553" s="350" t="str">
        <f t="shared" si="8"/>
        <v>Heizenergiebedarf (Qh)</v>
      </c>
      <c r="C553" s="364" t="s">
        <v>34</v>
      </c>
      <c r="D553" s="374" t="s">
        <v>609</v>
      </c>
      <c r="E553" s="365" t="s">
        <v>199</v>
      </c>
    </row>
    <row r="554" spans="1:5" ht="24">
      <c r="A554" s="352">
        <v>548</v>
      </c>
      <c r="B554" s="350" t="str">
        <f t="shared" si="8"/>
        <v>zulässiger Energiebedarf</v>
      </c>
      <c r="C554" s="364" t="s">
        <v>402</v>
      </c>
      <c r="D554" s="374" t="s">
        <v>610</v>
      </c>
      <c r="E554" s="365" t="s">
        <v>200</v>
      </c>
    </row>
    <row r="555" spans="1:5" ht="24">
      <c r="A555" s="352">
        <v>549</v>
      </c>
      <c r="B555" s="350" t="str">
        <f t="shared" si="8"/>
        <v>Höchstanteil nichterneuerbare Energien</v>
      </c>
      <c r="C555" s="364" t="s">
        <v>403</v>
      </c>
      <c r="D555" s="374" t="s">
        <v>611</v>
      </c>
      <c r="E555" s="365" t="s">
        <v>201</v>
      </c>
    </row>
    <row r="556" spans="1:5" ht="24">
      <c r="A556" s="352">
        <v>550</v>
      </c>
      <c r="B556" s="350" t="str">
        <f t="shared" si="8"/>
        <v>Deckung mit nichterneuerbaren Energien</v>
      </c>
      <c r="C556" s="364" t="s">
        <v>404</v>
      </c>
      <c r="D556" s="374" t="s">
        <v>612</v>
      </c>
      <c r="E556" s="365" t="s">
        <v>835</v>
      </c>
    </row>
    <row r="557" spans="1:5" ht="24">
      <c r="A557" s="352">
        <v>551</v>
      </c>
      <c r="B557" s="350" t="str">
        <f t="shared" si="8"/>
        <v>gewichteter Energiebedarf</v>
      </c>
      <c r="C557" s="364" t="s">
        <v>405</v>
      </c>
      <c r="D557" s="374" t="s">
        <v>613</v>
      </c>
      <c r="E557" s="365" t="s">
        <v>202</v>
      </c>
    </row>
    <row r="558" spans="1:5" ht="12.75">
      <c r="A558" s="352">
        <v>552</v>
      </c>
      <c r="B558" s="350" t="str">
        <f t="shared" si="8"/>
        <v>Höchstanteil</v>
      </c>
      <c r="C558" s="364" t="s">
        <v>408</v>
      </c>
      <c r="D558" s="374" t="s">
        <v>614</v>
      </c>
      <c r="E558" s="365" t="s">
        <v>203</v>
      </c>
    </row>
    <row r="559" spans="1:5" ht="12.75">
      <c r="A559" s="352">
        <v>553</v>
      </c>
      <c r="B559" s="350" t="str">
        <f t="shared" si="8"/>
        <v>mech. LA</v>
      </c>
      <c r="C559" s="364" t="s">
        <v>411</v>
      </c>
      <c r="D559" s="374" t="s">
        <v>615</v>
      </c>
      <c r="E559" s="365" t="s">
        <v>204</v>
      </c>
    </row>
    <row r="560" spans="1:5" ht="12.75">
      <c r="A560" s="352">
        <v>554</v>
      </c>
      <c r="B560" s="350" t="str">
        <f t="shared" si="8"/>
        <v>Deckung</v>
      </c>
      <c r="C560" s="364" t="s">
        <v>31</v>
      </c>
      <c r="D560" s="374" t="s">
        <v>754</v>
      </c>
      <c r="E560" s="365" t="s">
        <v>205</v>
      </c>
    </row>
    <row r="561" spans="1:5" ht="12.75">
      <c r="A561" s="352">
        <v>555</v>
      </c>
      <c r="B561" s="350" t="str">
        <f t="shared" si="8"/>
        <v>ern.Energie</v>
      </c>
      <c r="C561" s="364" t="s">
        <v>414</v>
      </c>
      <c r="D561" s="374" t="s">
        <v>616</v>
      </c>
      <c r="E561" s="365" t="s">
        <v>206</v>
      </c>
    </row>
    <row r="562" spans="1:5" ht="24">
      <c r="A562" s="352">
        <v>556</v>
      </c>
      <c r="B562" s="350" t="str">
        <f t="shared" si="8"/>
        <v>Datenzusammenstellung für die Grafik. </v>
      </c>
      <c r="C562" s="364" t="s">
        <v>400</v>
      </c>
      <c r="D562" s="374" t="s">
        <v>617</v>
      </c>
      <c r="E562" s="365" t="s">
        <v>207</v>
      </c>
    </row>
    <row r="563" spans="1:5" ht="36">
      <c r="A563" s="352">
        <v>557</v>
      </c>
      <c r="B563" s="350" t="str">
        <f t="shared" si="8"/>
        <v>Um die Grafik nachvollziehen zu können, wurde diese Zahlenliste nicht versteckt.</v>
      </c>
      <c r="C563" s="364" t="s">
        <v>401</v>
      </c>
      <c r="D563" s="374" t="s">
        <v>618</v>
      </c>
      <c r="E563" s="365" t="s">
        <v>208</v>
      </c>
    </row>
    <row r="564" spans="1:5" ht="12.75">
      <c r="A564" s="352">
        <v>558</v>
      </c>
      <c r="B564" s="350" t="str">
        <f t="shared" si="8"/>
        <v>Leer</v>
      </c>
      <c r="C564" s="364" t="s">
        <v>406</v>
      </c>
      <c r="D564" s="374" t="s">
        <v>619</v>
      </c>
      <c r="E564" s="365" t="s">
        <v>209</v>
      </c>
    </row>
    <row r="565" spans="1:5" ht="12.75">
      <c r="A565" s="352">
        <v>559</v>
      </c>
      <c r="B565" s="350" t="str">
        <f t="shared" si="8"/>
        <v>Linie</v>
      </c>
      <c r="C565" s="364" t="s">
        <v>415</v>
      </c>
      <c r="D565" s="374" t="s">
        <v>620</v>
      </c>
      <c r="E565" s="365" t="s">
        <v>210</v>
      </c>
    </row>
    <row r="566" spans="1:5" ht="12.75">
      <c r="A566" s="352">
        <v>560</v>
      </c>
      <c r="B566" s="350">
        <f t="shared" si="8"/>
        <v>0</v>
      </c>
      <c r="C566" s="364"/>
      <c r="D566" s="374"/>
      <c r="E566" s="366"/>
    </row>
    <row r="567" spans="1:5" ht="12.75">
      <c r="A567" s="352">
        <v>561</v>
      </c>
      <c r="B567" s="350">
        <f t="shared" si="8"/>
        <v>0</v>
      </c>
      <c r="C567" s="364"/>
      <c r="D567" s="374"/>
      <c r="E567" s="366"/>
    </row>
    <row r="568" spans="1:5" ht="12.75">
      <c r="A568" s="352">
        <v>562</v>
      </c>
      <c r="B568" s="350">
        <f t="shared" si="8"/>
        <v>0</v>
      </c>
      <c r="C568" s="364"/>
      <c r="D568" s="374"/>
      <c r="E568" s="366"/>
    </row>
    <row r="569" spans="1:5" ht="12.75">
      <c r="A569" s="352">
        <v>563</v>
      </c>
      <c r="B569" s="350">
        <f t="shared" si="8"/>
        <v>0</v>
      </c>
      <c r="C569" s="364"/>
      <c r="D569" s="374"/>
      <c r="E569" s="366"/>
    </row>
    <row r="570" spans="1:5" ht="12.75">
      <c r="A570" s="352">
        <v>564</v>
      </c>
      <c r="B570" s="350">
        <f t="shared" si="8"/>
        <v>0</v>
      </c>
      <c r="C570" s="364"/>
      <c r="D570" s="374"/>
      <c r="E570" s="366"/>
    </row>
    <row r="571" spans="1:5" ht="12.75">
      <c r="A571" s="352">
        <v>565</v>
      </c>
      <c r="B571" s="350">
        <f t="shared" si="8"/>
        <v>0</v>
      </c>
      <c r="C571" s="364"/>
      <c r="D571" s="374"/>
      <c r="E571" s="366"/>
    </row>
    <row r="572" spans="1:5" ht="12.75">
      <c r="A572" s="352">
        <v>566</v>
      </c>
      <c r="B572" s="350">
        <f t="shared" si="8"/>
        <v>0</v>
      </c>
      <c r="C572" s="364"/>
      <c r="D572" s="374"/>
      <c r="E572" s="366"/>
    </row>
  </sheetData>
  <sheetProtection password="D2AA" sheet="1" objects="1" scenarios="1"/>
  <mergeCells count="1">
    <mergeCell ref="A2:B2"/>
  </mergeCells>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2:E106"/>
  <sheetViews>
    <sheetView zoomScalePageLayoutView="0" workbookViewId="0" topLeftCell="A19">
      <selection activeCell="A57" sqref="A57"/>
    </sheetView>
  </sheetViews>
  <sheetFormatPr defaultColWidth="11.57421875" defaultRowHeight="12.75"/>
  <cols>
    <col min="1" max="1" width="5.7109375" style="258" customWidth="1"/>
    <col min="2" max="2" width="74.00390625" style="258" customWidth="1"/>
    <col min="3" max="4" width="11.57421875" style="258" customWidth="1"/>
    <col min="5" max="5" width="14.00390625" style="258" customWidth="1"/>
    <col min="6" max="16384" width="11.57421875" style="258" customWidth="1"/>
  </cols>
  <sheetData>
    <row r="2" ht="12.75">
      <c r="A2" s="269" t="s">
        <v>1144</v>
      </c>
    </row>
    <row r="4" spans="1:5" ht="12.75">
      <c r="A4" s="270" t="s">
        <v>173</v>
      </c>
      <c r="B4" s="270" t="s">
        <v>170</v>
      </c>
      <c r="C4" s="270" t="s">
        <v>171</v>
      </c>
      <c r="D4" s="281" t="s">
        <v>172</v>
      </c>
      <c r="E4" s="270" t="s">
        <v>1149</v>
      </c>
    </row>
    <row r="5" spans="1:5" ht="12.75">
      <c r="A5" s="271">
        <v>1</v>
      </c>
      <c r="B5" s="272" t="s">
        <v>1147</v>
      </c>
      <c r="C5" s="273">
        <v>39717</v>
      </c>
      <c r="D5" s="261">
        <v>5</v>
      </c>
      <c r="E5" s="271" t="s">
        <v>1150</v>
      </c>
    </row>
    <row r="6" spans="1:5" ht="12.75">
      <c r="A6" s="271">
        <v>2</v>
      </c>
      <c r="B6" s="272" t="s">
        <v>1146</v>
      </c>
      <c r="C6" s="273">
        <v>39717</v>
      </c>
      <c r="D6" s="261">
        <v>5</v>
      </c>
      <c r="E6" s="271" t="s">
        <v>1150</v>
      </c>
    </row>
    <row r="7" spans="1:5" ht="12.75">
      <c r="A7" s="271">
        <v>3</v>
      </c>
      <c r="B7" s="272" t="s">
        <v>1145</v>
      </c>
      <c r="C7" s="273">
        <v>39717</v>
      </c>
      <c r="D7" s="261">
        <v>5</v>
      </c>
      <c r="E7" s="271" t="s">
        <v>1150</v>
      </c>
    </row>
    <row r="8" spans="1:5" ht="12.75">
      <c r="A8" s="271">
        <v>4</v>
      </c>
      <c r="B8" s="272" t="s">
        <v>1148</v>
      </c>
      <c r="C8" s="273">
        <v>39717</v>
      </c>
      <c r="D8" s="261">
        <v>5</v>
      </c>
      <c r="E8" s="271" t="s">
        <v>1150</v>
      </c>
    </row>
    <row r="9" spans="1:5" ht="12.75">
      <c r="A9" s="271">
        <v>5</v>
      </c>
      <c r="B9" s="272" t="s">
        <v>174</v>
      </c>
      <c r="C9" s="273">
        <v>39717</v>
      </c>
      <c r="D9" s="261">
        <v>5</v>
      </c>
      <c r="E9" s="271" t="s">
        <v>1150</v>
      </c>
    </row>
    <row r="10" spans="1:5" ht="12.75">
      <c r="A10" s="271">
        <v>6</v>
      </c>
      <c r="B10" s="272" t="s">
        <v>175</v>
      </c>
      <c r="C10" s="273">
        <v>39717</v>
      </c>
      <c r="D10" s="261">
        <v>5</v>
      </c>
      <c r="E10" s="271" t="s">
        <v>1150</v>
      </c>
    </row>
    <row r="11" spans="1:5" ht="12.75">
      <c r="A11" s="271">
        <v>7</v>
      </c>
      <c r="B11" s="272" t="s">
        <v>184</v>
      </c>
      <c r="C11" s="273">
        <v>39717</v>
      </c>
      <c r="D11" s="261">
        <v>5</v>
      </c>
      <c r="E11" s="271" t="s">
        <v>1150</v>
      </c>
    </row>
    <row r="12" spans="1:5" ht="12.75">
      <c r="A12" s="271">
        <v>8</v>
      </c>
      <c r="B12" s="272" t="s">
        <v>185</v>
      </c>
      <c r="C12" s="273">
        <v>39717</v>
      </c>
      <c r="D12" s="261">
        <v>5</v>
      </c>
      <c r="E12" s="271" t="s">
        <v>1150</v>
      </c>
    </row>
    <row r="13" spans="1:5" ht="12.75">
      <c r="A13" s="271">
        <v>9</v>
      </c>
      <c r="B13" s="272" t="s">
        <v>186</v>
      </c>
      <c r="C13" s="273">
        <v>39717</v>
      </c>
      <c r="D13" s="261">
        <v>5</v>
      </c>
      <c r="E13" s="271" t="s">
        <v>1150</v>
      </c>
    </row>
    <row r="14" spans="1:5" ht="12.75">
      <c r="A14" s="271">
        <v>10</v>
      </c>
      <c r="B14" s="272" t="s">
        <v>188</v>
      </c>
      <c r="C14" s="273">
        <v>39717</v>
      </c>
      <c r="D14" s="261">
        <v>5</v>
      </c>
      <c r="E14" s="271" t="s">
        <v>1150</v>
      </c>
    </row>
    <row r="15" spans="1:5" ht="12.75">
      <c r="A15" s="271">
        <v>11</v>
      </c>
      <c r="B15" s="272" t="s">
        <v>189</v>
      </c>
      <c r="C15" s="273">
        <v>39717</v>
      </c>
      <c r="D15" s="261">
        <v>5</v>
      </c>
      <c r="E15" s="271" t="s">
        <v>1150</v>
      </c>
    </row>
    <row r="16" spans="1:5" ht="12.75">
      <c r="A16" s="271">
        <v>12</v>
      </c>
      <c r="B16" s="272" t="s">
        <v>190</v>
      </c>
      <c r="C16" s="273">
        <v>39717</v>
      </c>
      <c r="D16" s="261">
        <v>5</v>
      </c>
      <c r="E16" s="271" t="s">
        <v>1150</v>
      </c>
    </row>
    <row r="17" spans="1:5" ht="12.75">
      <c r="A17" s="271">
        <v>13</v>
      </c>
      <c r="B17" s="272" t="s">
        <v>187</v>
      </c>
      <c r="C17" s="273">
        <v>39717</v>
      </c>
      <c r="D17" s="261">
        <v>5</v>
      </c>
      <c r="E17" s="271" t="s">
        <v>1150</v>
      </c>
    </row>
    <row r="18" spans="1:5" ht="12.75">
      <c r="A18" s="271">
        <v>14</v>
      </c>
      <c r="B18" s="272" t="s">
        <v>191</v>
      </c>
      <c r="C18" s="273">
        <v>39717</v>
      </c>
      <c r="D18" s="261">
        <v>5</v>
      </c>
      <c r="E18" s="271" t="s">
        <v>1150</v>
      </c>
    </row>
    <row r="19" spans="1:5" ht="12.75">
      <c r="A19" s="271">
        <v>15</v>
      </c>
      <c r="B19" s="272" t="s">
        <v>192</v>
      </c>
      <c r="C19" s="273">
        <v>39717</v>
      </c>
      <c r="D19" s="261">
        <v>5</v>
      </c>
      <c r="E19" s="271" t="s">
        <v>1150</v>
      </c>
    </row>
    <row r="20" spans="1:5" ht="12.75">
      <c r="A20" s="271">
        <v>16</v>
      </c>
      <c r="B20" s="272" t="s">
        <v>762</v>
      </c>
      <c r="C20" s="273">
        <v>39717</v>
      </c>
      <c r="D20" s="261">
        <v>5</v>
      </c>
      <c r="E20" s="271" t="s">
        <v>1150</v>
      </c>
    </row>
    <row r="21" spans="1:5" ht="12.75">
      <c r="A21" s="271">
        <v>17</v>
      </c>
      <c r="B21" s="272" t="s">
        <v>763</v>
      </c>
      <c r="C21" s="273">
        <v>39717</v>
      </c>
      <c r="D21" s="261">
        <v>5</v>
      </c>
      <c r="E21" s="271" t="s">
        <v>1150</v>
      </c>
    </row>
    <row r="22" spans="1:5" ht="12.75">
      <c r="A22" s="271">
        <v>18</v>
      </c>
      <c r="B22" s="272" t="s">
        <v>764</v>
      </c>
      <c r="C22" s="273">
        <v>39717</v>
      </c>
      <c r="D22" s="261">
        <v>5</v>
      </c>
      <c r="E22" s="271" t="s">
        <v>1150</v>
      </c>
    </row>
    <row r="23" spans="1:5" ht="12.75">
      <c r="A23" s="271">
        <v>19</v>
      </c>
      <c r="B23" s="272" t="s">
        <v>139</v>
      </c>
      <c r="C23" s="273">
        <v>39743</v>
      </c>
      <c r="D23" s="261">
        <v>5</v>
      </c>
      <c r="E23" s="271" t="s">
        <v>1150</v>
      </c>
    </row>
    <row r="24" spans="1:5" ht="12.75">
      <c r="A24" s="271">
        <v>20</v>
      </c>
      <c r="B24" s="272" t="s">
        <v>140</v>
      </c>
      <c r="C24" s="273">
        <v>39743</v>
      </c>
      <c r="D24" s="261">
        <v>5</v>
      </c>
      <c r="E24" s="271" t="s">
        <v>1150</v>
      </c>
    </row>
    <row r="25" spans="1:5" ht="12.75">
      <c r="A25" s="271">
        <v>21</v>
      </c>
      <c r="B25" s="272" t="s">
        <v>141</v>
      </c>
      <c r="C25" s="273">
        <v>39743</v>
      </c>
      <c r="D25" s="261">
        <v>5</v>
      </c>
      <c r="E25" s="271" t="s">
        <v>1150</v>
      </c>
    </row>
    <row r="26" spans="1:5" ht="12.75">
      <c r="A26" s="271">
        <v>22</v>
      </c>
      <c r="B26" s="272" t="s">
        <v>142</v>
      </c>
      <c r="C26" s="273">
        <v>39743</v>
      </c>
      <c r="D26" s="261">
        <v>5</v>
      </c>
      <c r="E26" s="271" t="s">
        <v>1150</v>
      </c>
    </row>
    <row r="27" spans="1:5" ht="12.75">
      <c r="A27" s="271">
        <v>23</v>
      </c>
      <c r="B27" s="272" t="s">
        <v>823</v>
      </c>
      <c r="C27" s="273">
        <v>39794</v>
      </c>
      <c r="D27" s="261">
        <v>5</v>
      </c>
      <c r="E27" s="271" t="s">
        <v>1150</v>
      </c>
    </row>
    <row r="28" spans="1:5" ht="12.75">
      <c r="A28" s="271">
        <v>24</v>
      </c>
      <c r="B28" s="272" t="s">
        <v>824</v>
      </c>
      <c r="C28" s="273">
        <v>39794</v>
      </c>
      <c r="D28" s="261">
        <v>5</v>
      </c>
      <c r="E28" s="271" t="s">
        <v>1150</v>
      </c>
    </row>
    <row r="29" spans="1:5" ht="12.75">
      <c r="A29" s="271">
        <v>25</v>
      </c>
      <c r="B29" s="272" t="s">
        <v>621</v>
      </c>
      <c r="C29" s="273">
        <v>39794</v>
      </c>
      <c r="D29" s="261">
        <v>5</v>
      </c>
      <c r="E29" s="271" t="s">
        <v>1150</v>
      </c>
    </row>
    <row r="30" spans="1:5" ht="12.75">
      <c r="A30" s="271">
        <v>26</v>
      </c>
      <c r="B30" s="272" t="s">
        <v>825</v>
      </c>
      <c r="C30" s="273">
        <v>39794</v>
      </c>
      <c r="D30" s="261">
        <v>5</v>
      </c>
      <c r="E30" s="271" t="s">
        <v>1150</v>
      </c>
    </row>
    <row r="31" spans="1:5" ht="12.75">
      <c r="A31" s="271">
        <v>27</v>
      </c>
      <c r="B31" s="272" t="s">
        <v>827</v>
      </c>
      <c r="C31" s="273">
        <v>39794</v>
      </c>
      <c r="D31" s="261">
        <v>5</v>
      </c>
      <c r="E31" s="271" t="s">
        <v>1150</v>
      </c>
    </row>
    <row r="32" spans="1:5" ht="12.75">
      <c r="A32" s="271">
        <v>28</v>
      </c>
      <c r="B32" s="272" t="s">
        <v>828</v>
      </c>
      <c r="C32" s="273">
        <v>39794</v>
      </c>
      <c r="D32" s="261">
        <v>5</v>
      </c>
      <c r="E32" s="271" t="s">
        <v>1150</v>
      </c>
    </row>
    <row r="33" spans="1:5" ht="12.75">
      <c r="A33" s="271">
        <v>29</v>
      </c>
      <c r="B33" s="272" t="s">
        <v>912</v>
      </c>
      <c r="C33" s="273">
        <v>39837</v>
      </c>
      <c r="D33" s="261">
        <v>5.9</v>
      </c>
      <c r="E33" s="271" t="s">
        <v>1150</v>
      </c>
    </row>
    <row r="34" spans="1:5" ht="12.75">
      <c r="A34" s="271">
        <v>30</v>
      </c>
      <c r="B34" s="272" t="s">
        <v>913</v>
      </c>
      <c r="C34" s="273">
        <v>39837</v>
      </c>
      <c r="D34" s="261">
        <v>5.9</v>
      </c>
      <c r="E34" s="271" t="s">
        <v>1150</v>
      </c>
    </row>
    <row r="35" spans="1:5" ht="12.75">
      <c r="A35" s="271">
        <v>31</v>
      </c>
      <c r="B35" s="272" t="s">
        <v>622</v>
      </c>
      <c r="C35" s="273">
        <v>39956</v>
      </c>
      <c r="D35" s="261">
        <v>6</v>
      </c>
      <c r="E35" s="271" t="s">
        <v>1150</v>
      </c>
    </row>
    <row r="36" spans="1:5" ht="12.75">
      <c r="A36" s="271">
        <v>32</v>
      </c>
      <c r="B36" s="272" t="s">
        <v>623</v>
      </c>
      <c r="C36" s="273">
        <v>39956</v>
      </c>
      <c r="D36" s="261">
        <v>6</v>
      </c>
      <c r="E36" s="271" t="s">
        <v>1150</v>
      </c>
    </row>
    <row r="37" spans="1:5" ht="12.75">
      <c r="A37" s="271">
        <v>33</v>
      </c>
      <c r="B37" s="272" t="s">
        <v>975</v>
      </c>
      <c r="C37" s="273">
        <v>40047</v>
      </c>
      <c r="D37" s="261">
        <v>6.3</v>
      </c>
      <c r="E37" s="271" t="s">
        <v>1150</v>
      </c>
    </row>
    <row r="38" spans="1:5" ht="12.75">
      <c r="A38" s="271">
        <v>34</v>
      </c>
      <c r="B38" s="272" t="s">
        <v>777</v>
      </c>
      <c r="C38" s="273">
        <v>40086</v>
      </c>
      <c r="D38" s="271">
        <v>6.3</v>
      </c>
      <c r="E38" s="271" t="s">
        <v>1150</v>
      </c>
    </row>
    <row r="39" spans="1:5" ht="12.75">
      <c r="A39" s="271">
        <v>35</v>
      </c>
      <c r="B39" s="272" t="s">
        <v>105</v>
      </c>
      <c r="C39" s="273">
        <v>40180</v>
      </c>
      <c r="D39" s="271">
        <v>6.4</v>
      </c>
      <c r="E39" s="271" t="s">
        <v>1150</v>
      </c>
    </row>
    <row r="40" spans="1:5" ht="12.75">
      <c r="A40" s="271">
        <v>36</v>
      </c>
      <c r="B40" s="272" t="s">
        <v>915</v>
      </c>
      <c r="C40" s="273">
        <v>40477</v>
      </c>
      <c r="D40" s="261">
        <v>6.4</v>
      </c>
      <c r="E40" s="271" t="s">
        <v>1150</v>
      </c>
    </row>
    <row r="41" spans="1:5" ht="12.75">
      <c r="A41" s="271">
        <v>37</v>
      </c>
      <c r="B41" s="272" t="s">
        <v>916</v>
      </c>
      <c r="C41" s="273">
        <v>40477</v>
      </c>
      <c r="D41" s="261">
        <v>6.4</v>
      </c>
      <c r="E41" s="271" t="s">
        <v>1150</v>
      </c>
    </row>
    <row r="42" spans="1:5" ht="12.75">
      <c r="A42" s="271">
        <v>38</v>
      </c>
      <c r="B42" s="272" t="s">
        <v>914</v>
      </c>
      <c r="C42" s="273">
        <v>40505</v>
      </c>
      <c r="D42" s="261">
        <v>6.4</v>
      </c>
      <c r="E42" s="271" t="s">
        <v>1150</v>
      </c>
    </row>
    <row r="43" spans="1:5" ht="12.75">
      <c r="A43" s="271">
        <v>39</v>
      </c>
      <c r="B43" s="272" t="s">
        <v>196</v>
      </c>
      <c r="C43" s="273">
        <v>40509</v>
      </c>
      <c r="D43" s="261">
        <v>6.4</v>
      </c>
      <c r="E43" s="271" t="s">
        <v>1150</v>
      </c>
    </row>
    <row r="44" spans="1:5" ht="12.75">
      <c r="A44" s="271">
        <v>40</v>
      </c>
      <c r="B44" s="272" t="s">
        <v>726</v>
      </c>
      <c r="C44" s="273">
        <v>40509</v>
      </c>
      <c r="D44" s="261">
        <v>6.4</v>
      </c>
      <c r="E44" s="271" t="s">
        <v>1150</v>
      </c>
    </row>
    <row r="45" spans="1:5" ht="12.75">
      <c r="A45" s="271">
        <v>41</v>
      </c>
      <c r="B45" s="272" t="s">
        <v>165</v>
      </c>
      <c r="C45" s="273">
        <v>40626</v>
      </c>
      <c r="D45" s="261">
        <v>6.5</v>
      </c>
      <c r="E45" s="271" t="s">
        <v>1150</v>
      </c>
    </row>
    <row r="46" spans="1:5" ht="12.75">
      <c r="A46" s="271">
        <v>42</v>
      </c>
      <c r="B46" s="272" t="s">
        <v>686</v>
      </c>
      <c r="C46" s="273">
        <v>40750</v>
      </c>
      <c r="D46" s="261">
        <v>6.5</v>
      </c>
      <c r="E46" s="271" t="s">
        <v>1150</v>
      </c>
    </row>
    <row r="47" spans="1:5" ht="12.75">
      <c r="A47" s="271">
        <v>43</v>
      </c>
      <c r="B47" s="272" t="s">
        <v>79</v>
      </c>
      <c r="C47" s="273">
        <v>40897</v>
      </c>
      <c r="D47" s="261">
        <v>6.5</v>
      </c>
      <c r="E47" s="271" t="s">
        <v>1150</v>
      </c>
    </row>
    <row r="48" spans="1:5" ht="12.75">
      <c r="A48" s="271">
        <v>44</v>
      </c>
      <c r="B48" s="272" t="s">
        <v>1143</v>
      </c>
      <c r="C48" s="273">
        <v>40933</v>
      </c>
      <c r="D48" s="261">
        <v>6.5</v>
      </c>
      <c r="E48" s="271" t="s">
        <v>1150</v>
      </c>
    </row>
    <row r="49" spans="1:5" ht="12.75">
      <c r="A49" s="271">
        <v>45</v>
      </c>
      <c r="B49" s="272" t="s">
        <v>723</v>
      </c>
      <c r="C49" s="273">
        <v>41964</v>
      </c>
      <c r="D49" s="385" t="s">
        <v>960</v>
      </c>
      <c r="E49" s="271" t="s">
        <v>1150</v>
      </c>
    </row>
    <row r="50" spans="1:5" ht="12.75">
      <c r="A50" s="271">
        <v>46</v>
      </c>
      <c r="B50" s="272" t="s">
        <v>724</v>
      </c>
      <c r="C50" s="273">
        <v>41964</v>
      </c>
      <c r="D50" s="385" t="s">
        <v>960</v>
      </c>
      <c r="E50" s="271"/>
    </row>
    <row r="51" spans="1:5" ht="12.75">
      <c r="A51" s="271">
        <v>47</v>
      </c>
      <c r="B51" s="272" t="s">
        <v>725</v>
      </c>
      <c r="C51" s="273">
        <v>41964</v>
      </c>
      <c r="D51" s="385" t="s">
        <v>960</v>
      </c>
      <c r="E51" s="271"/>
    </row>
    <row r="52" spans="1:5" ht="12.75">
      <c r="A52" s="271">
        <v>48</v>
      </c>
      <c r="B52" s="272" t="s">
        <v>727</v>
      </c>
      <c r="C52" s="273">
        <v>41964</v>
      </c>
      <c r="D52" s="385" t="s">
        <v>960</v>
      </c>
      <c r="E52" s="271"/>
    </row>
    <row r="53" spans="1:5" ht="12.75">
      <c r="A53" s="271">
        <v>49</v>
      </c>
      <c r="B53" s="272" t="s">
        <v>728</v>
      </c>
      <c r="C53" s="273">
        <v>41964</v>
      </c>
      <c r="D53" s="385" t="s">
        <v>960</v>
      </c>
      <c r="E53" s="271"/>
    </row>
    <row r="54" spans="1:5" ht="12.75">
      <c r="A54" s="271">
        <v>50</v>
      </c>
      <c r="B54" s="272" t="s">
        <v>959</v>
      </c>
      <c r="C54" s="273">
        <v>41964</v>
      </c>
      <c r="D54" s="385" t="s">
        <v>960</v>
      </c>
      <c r="E54" s="271"/>
    </row>
    <row r="55" spans="1:5" ht="12.75">
      <c r="A55" s="271">
        <v>51</v>
      </c>
      <c r="B55" s="272" t="s">
        <v>1154</v>
      </c>
      <c r="C55" s="273">
        <v>43809</v>
      </c>
      <c r="D55" s="385" t="s">
        <v>960</v>
      </c>
      <c r="E55" s="271" t="s">
        <v>1078</v>
      </c>
    </row>
    <row r="56" spans="1:5" ht="12.75">
      <c r="A56" s="271">
        <v>52</v>
      </c>
      <c r="B56" s="272" t="s">
        <v>1155</v>
      </c>
      <c r="C56" s="273">
        <v>43809</v>
      </c>
      <c r="D56" s="385" t="s">
        <v>960</v>
      </c>
      <c r="E56" s="271" t="s">
        <v>1078</v>
      </c>
    </row>
    <row r="57" spans="1:5" ht="12.75">
      <c r="A57" s="271"/>
      <c r="B57" s="272"/>
      <c r="C57" s="273"/>
      <c r="D57" s="271"/>
      <c r="E57" s="271"/>
    </row>
    <row r="58" spans="1:5" ht="12.75">
      <c r="A58" s="271"/>
      <c r="B58" s="272"/>
      <c r="C58" s="273"/>
      <c r="D58" s="271"/>
      <c r="E58" s="271"/>
    </row>
    <row r="59" spans="1:5" ht="12.75">
      <c r="A59" s="271"/>
      <c r="B59" s="272"/>
      <c r="C59" s="273"/>
      <c r="D59" s="271"/>
      <c r="E59" s="271"/>
    </row>
    <row r="60" spans="1:5" ht="12.75">
      <c r="A60" s="271"/>
      <c r="B60" s="272"/>
      <c r="C60" s="273"/>
      <c r="D60" s="271"/>
      <c r="E60" s="271"/>
    </row>
    <row r="61" spans="1:5" ht="12.75">
      <c r="A61" s="271"/>
      <c r="B61" s="272"/>
      <c r="C61" s="273"/>
      <c r="D61" s="271"/>
      <c r="E61" s="271"/>
    </row>
    <row r="62" spans="1:5" ht="12.75">
      <c r="A62" s="271"/>
      <c r="B62" s="272"/>
      <c r="C62" s="273"/>
      <c r="D62" s="271"/>
      <c r="E62" s="271"/>
    </row>
    <row r="63" spans="1:5" ht="12.75">
      <c r="A63" s="271"/>
      <c r="B63" s="272"/>
      <c r="C63" s="273"/>
      <c r="D63" s="271"/>
      <c r="E63" s="271"/>
    </row>
    <row r="64" spans="1:5" ht="12.75">
      <c r="A64" s="271"/>
      <c r="B64" s="272"/>
      <c r="C64" s="273"/>
      <c r="D64" s="271"/>
      <c r="E64" s="271"/>
    </row>
    <row r="65" spans="1:5" ht="12.75">
      <c r="A65" s="271"/>
      <c r="B65" s="274"/>
      <c r="C65" s="273"/>
      <c r="D65" s="271"/>
      <c r="E65" s="271"/>
    </row>
    <row r="66" spans="1:5" ht="12.75">
      <c r="A66" s="271"/>
      <c r="B66" s="274"/>
      <c r="C66" s="273"/>
      <c r="D66" s="271"/>
      <c r="E66" s="271"/>
    </row>
    <row r="67" spans="1:5" ht="12.75">
      <c r="A67" s="271"/>
      <c r="B67" s="274"/>
      <c r="C67" s="273"/>
      <c r="D67" s="271"/>
      <c r="E67" s="271"/>
    </row>
    <row r="68" spans="1:5" ht="12.75">
      <c r="A68" s="271"/>
      <c r="B68" s="272"/>
      <c r="C68" s="273"/>
      <c r="D68" s="271"/>
      <c r="E68" s="271"/>
    </row>
    <row r="69" spans="1:5" ht="12.75">
      <c r="A69" s="271"/>
      <c r="B69" s="272"/>
      <c r="C69" s="273"/>
      <c r="D69" s="271"/>
      <c r="E69" s="271"/>
    </row>
    <row r="70" spans="1:5" ht="13.5" thickBot="1">
      <c r="A70" s="275"/>
      <c r="B70" s="276"/>
      <c r="C70" s="277"/>
      <c r="D70" s="275"/>
      <c r="E70" s="275"/>
    </row>
    <row r="71" spans="1:5" ht="12.75">
      <c r="A71" s="271"/>
      <c r="B71" s="272"/>
      <c r="C71" s="273"/>
      <c r="D71" s="261"/>
      <c r="E71" s="271"/>
    </row>
    <row r="72" spans="1:5" ht="12.75">
      <c r="A72" s="271"/>
      <c r="B72" s="272"/>
      <c r="C72" s="273"/>
      <c r="D72" s="261"/>
      <c r="E72" s="271"/>
    </row>
    <row r="73" spans="1:5" ht="12.75">
      <c r="A73" s="271"/>
      <c r="B73" s="272"/>
      <c r="C73" s="273"/>
      <c r="D73" s="261"/>
      <c r="E73" s="271"/>
    </row>
    <row r="74" spans="1:5" ht="12.75">
      <c r="A74" s="271"/>
      <c r="B74" s="272"/>
      <c r="C74" s="273"/>
      <c r="D74" s="261"/>
      <c r="E74" s="271"/>
    </row>
    <row r="75" spans="1:5" ht="12.75">
      <c r="A75" s="271"/>
      <c r="B75" s="272"/>
      <c r="C75" s="273"/>
      <c r="D75" s="261"/>
      <c r="E75" s="271"/>
    </row>
    <row r="76" spans="1:5" ht="12.75">
      <c r="A76" s="271"/>
      <c r="B76" s="272"/>
      <c r="C76" s="273"/>
      <c r="D76" s="261"/>
      <c r="E76" s="271"/>
    </row>
    <row r="77" spans="1:5" ht="12.75">
      <c r="A77" s="271"/>
      <c r="B77" s="272"/>
      <c r="C77" s="273"/>
      <c r="D77" s="261"/>
      <c r="E77" s="271"/>
    </row>
    <row r="78" spans="1:5" ht="12.75">
      <c r="A78" s="271"/>
      <c r="B78" s="272"/>
      <c r="C78" s="273"/>
      <c r="D78" s="261"/>
      <c r="E78" s="271"/>
    </row>
    <row r="79" spans="1:5" ht="12.75">
      <c r="A79" s="271"/>
      <c r="B79" s="272"/>
      <c r="C79" s="273"/>
      <c r="D79" s="261"/>
      <c r="E79" s="271"/>
    </row>
    <row r="80" spans="1:5" ht="12.75">
      <c r="A80" s="271"/>
      <c r="B80" s="272"/>
      <c r="C80" s="273"/>
      <c r="D80" s="261"/>
      <c r="E80" s="271"/>
    </row>
    <row r="81" spans="1:5" ht="12.75">
      <c r="A81" s="271"/>
      <c r="B81" s="274"/>
      <c r="C81" s="273"/>
      <c r="D81" s="261"/>
      <c r="E81" s="271"/>
    </row>
    <row r="82" spans="1:5" ht="12.75">
      <c r="A82" s="271"/>
      <c r="B82" s="272"/>
      <c r="C82" s="273"/>
      <c r="D82" s="261"/>
      <c r="E82" s="271"/>
    </row>
    <row r="83" spans="1:5" ht="12.75">
      <c r="A83" s="271"/>
      <c r="B83" s="272"/>
      <c r="C83" s="273"/>
      <c r="D83" s="261"/>
      <c r="E83" s="271"/>
    </row>
    <row r="84" spans="1:5" ht="12.75">
      <c r="A84" s="271"/>
      <c r="B84" s="272"/>
      <c r="C84" s="273"/>
      <c r="D84" s="261"/>
      <c r="E84" s="271"/>
    </row>
    <row r="85" spans="1:5" ht="12.75">
      <c r="A85" s="271"/>
      <c r="B85" s="272"/>
      <c r="C85" s="273"/>
      <c r="D85" s="261"/>
      <c r="E85" s="271"/>
    </row>
    <row r="86" spans="1:5" ht="12.75">
      <c r="A86" s="271"/>
      <c r="B86" s="272"/>
      <c r="C86" s="273"/>
      <c r="D86" s="261"/>
      <c r="E86" s="271"/>
    </row>
    <row r="87" spans="1:5" ht="12.75">
      <c r="A87" s="271"/>
      <c r="B87" s="272"/>
      <c r="C87" s="273"/>
      <c r="D87" s="261"/>
      <c r="E87" s="271"/>
    </row>
    <row r="88" spans="1:5" ht="12.75">
      <c r="A88" s="271"/>
      <c r="B88" s="272"/>
      <c r="C88" s="273"/>
      <c r="D88" s="261"/>
      <c r="E88" s="271"/>
    </row>
    <row r="89" spans="1:5" ht="12.75">
      <c r="A89" s="271"/>
      <c r="B89" s="272"/>
      <c r="C89" s="273"/>
      <c r="D89" s="261"/>
      <c r="E89" s="271"/>
    </row>
    <row r="90" spans="1:5" ht="12.75">
      <c r="A90" s="271"/>
      <c r="B90" s="272"/>
      <c r="C90" s="273"/>
      <c r="D90" s="261"/>
      <c r="E90" s="271"/>
    </row>
    <row r="91" spans="1:5" ht="12.75">
      <c r="A91" s="271"/>
      <c r="B91" s="272"/>
      <c r="C91" s="273"/>
      <c r="D91" s="261"/>
      <c r="E91" s="271"/>
    </row>
    <row r="92" spans="1:5" ht="12.75">
      <c r="A92" s="271"/>
      <c r="B92" s="272"/>
      <c r="C92" s="273"/>
      <c r="D92" s="261"/>
      <c r="E92" s="271"/>
    </row>
    <row r="93" spans="1:5" ht="12.75">
      <c r="A93" s="271"/>
      <c r="B93" s="272"/>
      <c r="C93" s="273"/>
      <c r="D93" s="261"/>
      <c r="E93" s="271"/>
    </row>
    <row r="94" spans="1:5" ht="12.75">
      <c r="A94" s="271"/>
      <c r="B94" s="272"/>
      <c r="C94" s="273"/>
      <c r="D94" s="261"/>
      <c r="E94" s="271"/>
    </row>
    <row r="95" spans="1:5" ht="12.75">
      <c r="A95" s="271"/>
      <c r="B95" s="272"/>
      <c r="C95" s="273"/>
      <c r="D95" s="261"/>
      <c r="E95" s="271"/>
    </row>
    <row r="96" spans="1:5" ht="12.75">
      <c r="A96" s="271"/>
      <c r="B96" s="272"/>
      <c r="C96" s="273"/>
      <c r="D96" s="261"/>
      <c r="E96" s="271"/>
    </row>
    <row r="97" spans="1:5" ht="12.75">
      <c r="A97" s="271"/>
      <c r="B97" s="272"/>
      <c r="C97" s="273"/>
      <c r="D97" s="261"/>
      <c r="E97" s="271"/>
    </row>
    <row r="98" spans="1:5" ht="12.75">
      <c r="A98" s="271"/>
      <c r="B98" s="272"/>
      <c r="C98" s="273"/>
      <c r="D98" s="261"/>
      <c r="E98" s="271"/>
    </row>
    <row r="99" spans="1:5" ht="12.75">
      <c r="A99" s="271"/>
      <c r="B99" s="272"/>
      <c r="C99" s="273"/>
      <c r="D99" s="261"/>
      <c r="E99" s="271"/>
    </row>
    <row r="100" spans="1:5" ht="12.75">
      <c r="A100" s="271"/>
      <c r="B100" s="272"/>
      <c r="C100" s="273"/>
      <c r="D100" s="261"/>
      <c r="E100" s="271"/>
    </row>
    <row r="101" spans="1:5" ht="12.75">
      <c r="A101" s="271"/>
      <c r="B101" s="272"/>
      <c r="C101" s="273"/>
      <c r="D101" s="261"/>
      <c r="E101" s="271"/>
    </row>
    <row r="102" spans="1:5" ht="12.75">
      <c r="A102" s="271"/>
      <c r="B102" s="272"/>
      <c r="C102" s="273"/>
      <c r="D102" s="261"/>
      <c r="E102" s="271"/>
    </row>
    <row r="103" spans="1:5" ht="12.75">
      <c r="A103" s="271"/>
      <c r="B103" s="272"/>
      <c r="C103" s="273"/>
      <c r="D103" s="261"/>
      <c r="E103" s="271"/>
    </row>
    <row r="104" spans="1:5" ht="12.75">
      <c r="A104" s="278"/>
      <c r="B104" s="279"/>
      <c r="C104" s="280"/>
      <c r="D104" s="262"/>
      <c r="E104" s="278"/>
    </row>
    <row r="105" spans="1:5" ht="12.75">
      <c r="A105" s="271"/>
      <c r="B105" s="272"/>
      <c r="C105" s="273"/>
      <c r="D105" s="261"/>
      <c r="E105" s="271"/>
    </row>
    <row r="106" spans="1:5" ht="12.75">
      <c r="A106" s="271"/>
      <c r="B106" s="272"/>
      <c r="C106" s="273"/>
      <c r="D106" s="261"/>
      <c r="E106" s="271"/>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1"/>
  <sheetViews>
    <sheetView showZeros="0" tabSelected="1" zoomScalePageLayoutView="0" workbookViewId="0" topLeftCell="A2">
      <selection activeCell="A2" sqref="A2"/>
    </sheetView>
  </sheetViews>
  <sheetFormatPr defaultColWidth="11.57421875" defaultRowHeight="12.75"/>
  <cols>
    <col min="1" max="1" width="0.85546875" style="258" customWidth="1"/>
    <col min="2" max="4" width="4.140625" style="258" customWidth="1"/>
    <col min="5" max="5" width="8.7109375" style="258" customWidth="1"/>
    <col min="6" max="6" width="5.7109375" style="258" customWidth="1"/>
    <col min="7" max="9" width="6.7109375" style="258" customWidth="1"/>
    <col min="10" max="10" width="8.28125" style="258" customWidth="1"/>
    <col min="11" max="11" width="5.00390625" style="258" customWidth="1"/>
    <col min="12" max="13" width="6.7109375" style="258" customWidth="1"/>
    <col min="14" max="14" width="8.28125" style="258" customWidth="1"/>
    <col min="15" max="15" width="3.421875" style="258" customWidth="1"/>
    <col min="16" max="16" width="6.7109375" style="258" customWidth="1"/>
    <col min="17" max="17" width="14.28125" style="258" customWidth="1"/>
    <col min="18" max="18" width="10.57421875" style="258" customWidth="1"/>
    <col min="19" max="16384" width="11.57421875" style="258" customWidth="1"/>
  </cols>
  <sheetData>
    <row r="1" spans="1:9" ht="12.75" hidden="1">
      <c r="A1" s="265"/>
      <c r="B1" s="265"/>
      <c r="C1" s="265"/>
      <c r="D1" s="265"/>
      <c r="E1" s="265"/>
      <c r="F1" s="265"/>
      <c r="G1" s="265"/>
      <c r="H1" s="265"/>
      <c r="I1" s="265"/>
    </row>
    <row r="2" spans="1:10" ht="12.75">
      <c r="A2" s="265"/>
      <c r="B2" s="265"/>
      <c r="C2" s="265"/>
      <c r="D2" s="265"/>
      <c r="E2" s="265"/>
      <c r="F2" s="265"/>
      <c r="G2" s="265"/>
      <c r="H2" s="265"/>
      <c r="I2" s="265"/>
      <c r="J2" s="265"/>
    </row>
    <row r="3" spans="1:16" ht="12.75">
      <c r="A3" s="265"/>
      <c r="B3" s="296"/>
      <c r="C3" s="297"/>
      <c r="D3" s="297"/>
      <c r="E3" s="297"/>
      <c r="F3" s="297"/>
      <c r="G3" s="297"/>
      <c r="H3" s="298"/>
      <c r="I3" s="296"/>
      <c r="J3" s="298"/>
      <c r="K3" s="416" t="str">
        <f>Sprache!B276</f>
        <v>Energienachweis</v>
      </c>
      <c r="L3" s="417"/>
      <c r="M3" s="417"/>
      <c r="N3" s="417"/>
      <c r="O3" s="417"/>
      <c r="P3" s="418"/>
    </row>
    <row r="4" spans="1:16" ht="20.25">
      <c r="A4" s="265"/>
      <c r="B4" s="299"/>
      <c r="C4" s="265"/>
      <c r="D4" s="265"/>
      <c r="E4" s="265"/>
      <c r="F4" s="265"/>
      <c r="G4" s="265"/>
      <c r="H4" s="300"/>
      <c r="I4" s="425" t="s">
        <v>829</v>
      </c>
      <c r="J4" s="426"/>
      <c r="K4" s="419" t="str">
        <f>Sprache!B277</f>
        <v>Höchstanteil</v>
      </c>
      <c r="L4" s="420"/>
      <c r="M4" s="420"/>
      <c r="N4" s="420"/>
      <c r="O4" s="420"/>
      <c r="P4" s="421"/>
    </row>
    <row r="5" spans="1:16" ht="14.25">
      <c r="A5" s="265"/>
      <c r="B5" s="301"/>
      <c r="C5" s="263"/>
      <c r="D5" s="263"/>
      <c r="E5" s="263"/>
      <c r="F5" s="263"/>
      <c r="G5" s="263"/>
      <c r="H5" s="264"/>
      <c r="I5" s="301"/>
      <c r="J5" s="264"/>
      <c r="K5" s="422" t="str">
        <f>Sprache!B278</f>
        <v>Rechnerische Lösung (calc)</v>
      </c>
      <c r="L5" s="423"/>
      <c r="M5" s="423"/>
      <c r="N5" s="423"/>
      <c r="O5" s="423"/>
      <c r="P5" s="424"/>
    </row>
    <row r="6" spans="1:10" ht="12.75">
      <c r="A6" s="265"/>
      <c r="B6" s="265"/>
      <c r="C6" s="265"/>
      <c r="D6" s="265"/>
      <c r="E6" s="265"/>
      <c r="F6" s="265"/>
      <c r="G6" s="265"/>
      <c r="H6" s="265"/>
      <c r="I6" s="265"/>
      <c r="J6" s="265"/>
    </row>
    <row r="7" spans="1:16" ht="12.75">
      <c r="A7" s="265"/>
      <c r="B7" s="265" t="str">
        <f>Sprache!B280</f>
        <v>Gemeinde:</v>
      </c>
      <c r="C7" s="265"/>
      <c r="D7" s="265"/>
      <c r="E7" s="427"/>
      <c r="F7" s="427"/>
      <c r="G7" s="427"/>
      <c r="H7" s="427"/>
      <c r="I7" s="427"/>
      <c r="J7" s="265"/>
      <c r="K7" s="309" t="str">
        <f>Sprache!B281</f>
        <v>Parz.-Nr.:</v>
      </c>
      <c r="L7" s="323"/>
      <c r="N7" s="315" t="str">
        <f>Sprache!B282</f>
        <v>Geb.-Nr.:</v>
      </c>
      <c r="O7" s="427"/>
      <c r="P7" s="427"/>
    </row>
    <row r="8" spans="1:16" ht="12.75">
      <c r="A8" s="265"/>
      <c r="B8" s="265" t="str">
        <f>Sprache!B279</f>
        <v>Bauvorhaben:</v>
      </c>
      <c r="C8" s="265"/>
      <c r="D8" s="265"/>
      <c r="E8" s="415">
        <f>Rechengang!B3</f>
        <v>0</v>
      </c>
      <c r="F8" s="415"/>
      <c r="G8" s="415"/>
      <c r="H8" s="415"/>
      <c r="I8" s="415"/>
      <c r="J8" s="415"/>
      <c r="K8" s="415"/>
      <c r="L8" s="415"/>
      <c r="M8" s="415"/>
      <c r="N8" s="415"/>
      <c r="O8" s="415"/>
      <c r="P8" s="415"/>
    </row>
    <row r="9" spans="1:16" ht="6" customHeight="1">
      <c r="A9" s="265"/>
      <c r="B9" s="263"/>
      <c r="C9" s="263"/>
      <c r="D9" s="263"/>
      <c r="E9" s="263"/>
      <c r="F9" s="263"/>
      <c r="G9" s="263"/>
      <c r="H9" s="263"/>
      <c r="I9" s="263"/>
      <c r="J9" s="263"/>
      <c r="K9" s="263"/>
      <c r="L9" s="263"/>
      <c r="M9" s="263"/>
      <c r="N9" s="263"/>
      <c r="O9" s="263"/>
      <c r="P9" s="263"/>
    </row>
    <row r="10" spans="1:9" ht="4.5" customHeight="1">
      <c r="A10" s="265"/>
      <c r="B10" s="265"/>
      <c r="C10" s="265"/>
      <c r="D10" s="265"/>
      <c r="E10" s="265"/>
      <c r="F10" s="265"/>
      <c r="G10" s="265"/>
      <c r="H10" s="265"/>
      <c r="I10" s="265"/>
    </row>
    <row r="11" spans="2:19" ht="15">
      <c r="B11" s="303" t="str">
        <f>Sprache!B283</f>
        <v>Befreiung bei Anbauten</v>
      </c>
      <c r="C11" s="303"/>
      <c r="R11" s="266"/>
      <c r="S11" s="266" t="str">
        <f>Sprache!B327</f>
        <v>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v>
      </c>
    </row>
    <row r="12" ht="3" customHeight="1"/>
    <row r="13" ht="12.75">
      <c r="B13" s="259" t="str">
        <f>Sprache!B284</f>
        <v>      Von den Anforderungen an den Höchstanteil befreiter Anbau  (Erweiterung, Aufstockung)</v>
      </c>
    </row>
    <row r="14" ht="4.5" customHeight="1"/>
    <row r="15" spans="4:19" ht="12" customHeight="1">
      <c r="D15" s="302" t="str">
        <f>Sprache!B285</f>
        <v>EBF neu: </v>
      </c>
      <c r="E15" s="322"/>
      <c r="F15" s="258" t="s">
        <v>779</v>
      </c>
      <c r="I15" s="302" t="str">
        <f>Sprache!B286</f>
        <v>EBF bestehend: </v>
      </c>
      <c r="J15" s="322"/>
      <c r="K15" s="258" t="s">
        <v>779</v>
      </c>
      <c r="M15" s="302" t="str">
        <f>Sprache!B287</f>
        <v>Anteil: </v>
      </c>
      <c r="N15" s="324">
        <f>IF(J15&gt;0,E15/J15,)</f>
        <v>0</v>
      </c>
      <c r="Q15" s="321" t="b">
        <f>IF(J15=0,FALSE,IF(OR(AND(N15&lt;=0.2,E15&lt;=1000),E15&lt;=50),TRUE,FALSE))</f>
        <v>0</v>
      </c>
      <c r="R15" s="359" t="str">
        <f>Sprache!B328</f>
        <v>EBF neu:</v>
      </c>
      <c r="S15" s="266" t="str">
        <f>Sprache!B329</f>
        <v>EBF der Erweiterung oder Aufstockung, ohne Altbauteil.</v>
      </c>
    </row>
    <row r="16" spans="2:16" ht="4.5" customHeight="1">
      <c r="B16" s="263"/>
      <c r="C16" s="263"/>
      <c r="D16" s="263"/>
      <c r="E16" s="263"/>
      <c r="F16" s="263"/>
      <c r="G16" s="263"/>
      <c r="H16" s="263"/>
      <c r="I16" s="263"/>
      <c r="J16" s="263"/>
      <c r="K16" s="263"/>
      <c r="L16" s="263"/>
      <c r="M16" s="263"/>
      <c r="N16" s="263"/>
      <c r="O16" s="263"/>
      <c r="P16" s="263"/>
    </row>
    <row r="17" ht="9" customHeight="1"/>
    <row r="18" spans="2:16" ht="22.5" customHeight="1">
      <c r="B18" s="428" t="str">
        <f>Sprache!B288</f>
        <v>Wärmedämmung</v>
      </c>
      <c r="C18" s="428" t="str">
        <f>Sprache!B289</f>
        <v>Heizung</v>
      </c>
      <c r="D18" s="428" t="str">
        <f>Sprache!B290</f>
        <v>Lüftung</v>
      </c>
      <c r="E18" s="297"/>
      <c r="F18" s="297"/>
      <c r="G18" s="297"/>
      <c r="H18" s="297"/>
      <c r="I18" s="297"/>
      <c r="J18" s="297"/>
      <c r="K18" s="297"/>
      <c r="L18" s="297"/>
      <c r="M18" s="297"/>
      <c r="N18" s="297"/>
      <c r="O18" s="297"/>
      <c r="P18" s="297"/>
    </row>
    <row r="19" spans="2:16" ht="12.75">
      <c r="B19" s="429"/>
      <c r="C19" s="429"/>
      <c r="D19" s="429"/>
      <c r="E19" s="265"/>
      <c r="F19" s="265"/>
      <c r="G19" s="265"/>
      <c r="H19" s="265"/>
      <c r="I19" s="265"/>
      <c r="J19" s="265"/>
      <c r="K19" s="265"/>
      <c r="L19" s="265"/>
      <c r="M19" s="265"/>
      <c r="N19" s="265"/>
      <c r="O19" s="265"/>
      <c r="P19" s="265"/>
    </row>
    <row r="20" spans="2:16" ht="15">
      <c r="B20" s="429"/>
      <c r="C20" s="429"/>
      <c r="D20" s="429"/>
      <c r="E20" s="319" t="str">
        <f>Sprache!B291</f>
        <v> Rechnerische Lösung</v>
      </c>
      <c r="F20" s="265"/>
      <c r="G20" s="265"/>
      <c r="H20" s="265"/>
      <c r="I20" s="265"/>
      <c r="J20" s="265"/>
      <c r="K20" s="265"/>
      <c r="L20" s="265"/>
      <c r="M20" s="265"/>
      <c r="N20" s="265"/>
      <c r="O20" s="265"/>
      <c r="P20" s="265"/>
    </row>
    <row r="21" spans="2:16" ht="12.75" customHeight="1">
      <c r="B21" s="429"/>
      <c r="C21" s="429"/>
      <c r="D21" s="429"/>
      <c r="E21" s="260" t="str">
        <f>Sprache!B292</f>
        <v> Rechnerischer Nachweis mit der Excel-Datei «Rechnach.xls».</v>
      </c>
      <c r="F21" s="265"/>
      <c r="G21" s="265"/>
      <c r="H21" s="265"/>
      <c r="I21" s="265"/>
      <c r="J21" s="265"/>
      <c r="K21" s="265"/>
      <c r="L21" s="265"/>
      <c r="M21" s="265"/>
      <c r="N21" s="265"/>
      <c r="O21" s="265"/>
      <c r="P21" s="265"/>
    </row>
    <row r="22" spans="2:16" ht="12.75">
      <c r="B22" s="429"/>
      <c r="C22" s="429"/>
      <c r="D22" s="429"/>
      <c r="E22" s="260"/>
      <c r="F22" s="265"/>
      <c r="G22" s="265"/>
      <c r="H22" s="265"/>
      <c r="I22" s="265"/>
      <c r="J22" s="265"/>
      <c r="K22" s="265"/>
      <c r="L22" s="265"/>
      <c r="M22" s="265"/>
      <c r="N22" s="265"/>
      <c r="O22" s="265"/>
      <c r="P22" s="265"/>
    </row>
    <row r="23" spans="2:16" ht="12.75">
      <c r="B23" s="430"/>
      <c r="C23" s="430"/>
      <c r="D23" s="430"/>
      <c r="E23" s="320"/>
      <c r="F23" s="263"/>
      <c r="G23" s="263"/>
      <c r="H23" s="263"/>
      <c r="I23" s="263"/>
      <c r="J23" s="263"/>
      <c r="K23" s="263"/>
      <c r="L23" s="263"/>
      <c r="M23" s="263"/>
      <c r="N23" s="263"/>
      <c r="O23" s="263"/>
      <c r="P23" s="263"/>
    </row>
    <row r="24" spans="2:16" ht="17.25" customHeight="1">
      <c r="B24" s="306"/>
      <c r="C24" s="306"/>
      <c r="D24" s="306"/>
      <c r="E24" s="304" t="str">
        <f>Sprache!B293</f>
        <v> Zulässiger Wärmebedarf Heizung und Warmwasser:</v>
      </c>
      <c r="P24" s="265"/>
    </row>
    <row r="25" spans="2:16" ht="5.25" customHeight="1">
      <c r="B25" s="307"/>
      <c r="C25" s="307"/>
      <c r="D25" s="307"/>
      <c r="P25" s="265"/>
    </row>
    <row r="26" spans="2:18" ht="12.75">
      <c r="B26" s="307"/>
      <c r="C26" s="307"/>
      <c r="D26" s="307"/>
      <c r="E26" s="259" t="str">
        <f>Sprache!B294</f>
        <v> Grenzwert</v>
      </c>
      <c r="P26" s="265"/>
      <c r="R26" s="321" t="b">
        <f>IF(Q15,FALSE,TRUE)</f>
        <v>1</v>
      </c>
    </row>
    <row r="27" spans="2:16" ht="13.5">
      <c r="B27" s="307"/>
      <c r="C27" s="307"/>
      <c r="D27" s="307"/>
      <c r="E27" s="259" t="str">
        <f>Sprache!B295</f>
        <v> Heizwärmebedarf</v>
      </c>
      <c r="I27" s="309" t="s">
        <v>788</v>
      </c>
      <c r="J27" s="325">
        <f>Hg</f>
        <v>0</v>
      </c>
      <c r="K27" s="259" t="s">
        <v>790</v>
      </c>
      <c r="P27" s="265"/>
    </row>
    <row r="28" spans="2:16" ht="13.5">
      <c r="B28" s="307"/>
      <c r="C28" s="307"/>
      <c r="D28" s="307"/>
      <c r="E28" s="259" t="str">
        <f>Sprache!B296</f>
        <v> Wärmebedarf Warmwasser</v>
      </c>
      <c r="I28" s="309" t="s">
        <v>789</v>
      </c>
      <c r="J28" s="325">
        <f>Qwww</f>
        <v>0</v>
      </c>
      <c r="K28" s="259" t="s">
        <v>790</v>
      </c>
      <c r="P28" s="265"/>
    </row>
    <row r="29" spans="2:16" ht="15">
      <c r="B29" s="307"/>
      <c r="C29" s="307"/>
      <c r="D29" s="307"/>
      <c r="M29" s="309" t="s">
        <v>791</v>
      </c>
      <c r="N29" s="325">
        <f>J27+J28</f>
        <v>0</v>
      </c>
      <c r="O29" s="312" t="s">
        <v>792</v>
      </c>
      <c r="P29" s="260" t="s">
        <v>787</v>
      </c>
    </row>
    <row r="30" spans="2:16" ht="15.75" thickBot="1">
      <c r="B30" s="307"/>
      <c r="C30" s="307"/>
      <c r="D30" s="307"/>
      <c r="E30" s="305" t="str">
        <f>Sprache!B297</f>
        <v> 80% von  </v>
      </c>
      <c r="F30" s="332" t="s">
        <v>342</v>
      </c>
      <c r="G30" s="259" t="str">
        <f>Sprache!B298</f>
        <v>Höchstanteil mit nichterneuerbarer Energie gedeckter Bedarf</v>
      </c>
      <c r="N30" s="326">
        <f>N29*0.8</f>
        <v>0</v>
      </c>
      <c r="O30" s="312" t="s">
        <v>793</v>
      </c>
      <c r="P30" s="260" t="s">
        <v>787</v>
      </c>
    </row>
    <row r="31" spans="2:16" ht="3.75" customHeight="1" thickTop="1">
      <c r="B31" s="308"/>
      <c r="C31" s="308"/>
      <c r="D31" s="308"/>
      <c r="E31" s="301"/>
      <c r="F31" s="263"/>
      <c r="G31" s="263"/>
      <c r="H31" s="263"/>
      <c r="I31" s="263"/>
      <c r="J31" s="263"/>
      <c r="K31" s="263"/>
      <c r="L31" s="263"/>
      <c r="M31" s="263"/>
      <c r="N31" s="263"/>
      <c r="O31" s="263"/>
      <c r="P31" s="263"/>
    </row>
    <row r="32" spans="2:5" ht="18" customHeight="1">
      <c r="B32" s="306"/>
      <c r="C32" s="306"/>
      <c r="D32" s="306"/>
      <c r="E32" s="304" t="str">
        <f>Sprache!B299</f>
        <v> Wärmebedarf für Heizung und Warmwasser,</v>
      </c>
    </row>
    <row r="33" spans="2:5" ht="12.75">
      <c r="B33" s="307"/>
      <c r="C33" s="307"/>
      <c r="D33" s="307"/>
      <c r="E33" s="304" t="str">
        <f>Sprache!B300</f>
        <v> der mit nichterneuerbaren Energie gedeckt wird:</v>
      </c>
    </row>
    <row r="34" spans="2:4" ht="4.5" customHeight="1">
      <c r="B34" s="307"/>
      <c r="C34" s="307"/>
      <c r="D34" s="307"/>
    </row>
    <row r="35" spans="2:16" ht="13.5">
      <c r="B35" s="307"/>
      <c r="C35" s="307"/>
      <c r="D35" s="307"/>
      <c r="E35" s="259" t="str">
        <f>Sprache!B301</f>
        <v> Heizwärmebedarf Qh gem. Norm SIA 380/1 (Ausgabe 2009)</v>
      </c>
      <c r="M35" s="309" t="s">
        <v>818</v>
      </c>
      <c r="N35" s="325">
        <f>Qh</f>
        <v>0</v>
      </c>
      <c r="P35" s="259" t="s">
        <v>787</v>
      </c>
    </row>
    <row r="36" spans="2:16" ht="13.5">
      <c r="B36" s="307"/>
      <c r="C36" s="307"/>
      <c r="D36" s="307"/>
      <c r="E36" s="259" t="s">
        <v>822</v>
      </c>
      <c r="M36" s="309" t="s">
        <v>821</v>
      </c>
      <c r="N36" s="382">
        <f>Elektro</f>
        <v>0</v>
      </c>
      <c r="P36" s="259"/>
    </row>
    <row r="37" spans="2:16" ht="13.5">
      <c r="B37" s="307"/>
      <c r="C37" s="307"/>
      <c r="D37" s="307"/>
      <c r="E37" s="259" t="str">
        <f>Sprache!B302</f>
        <v> Strombedarf mechanische Ersatzluftanlagen</v>
      </c>
      <c r="M37" s="309" t="s">
        <v>794</v>
      </c>
      <c r="N37" s="325">
        <f>Rechengang!J32/2</f>
        <v>0</v>
      </c>
      <c r="P37" s="259" t="s">
        <v>787</v>
      </c>
    </row>
    <row r="38" spans="2:16" ht="13.5">
      <c r="B38" s="307"/>
      <c r="C38" s="307"/>
      <c r="D38" s="307"/>
      <c r="E38" s="259" t="str">
        <f>Sprache!B303</f>
        <v> Wärmebedarf Warmwasser</v>
      </c>
      <c r="M38" s="309" t="s">
        <v>789</v>
      </c>
      <c r="N38" s="325">
        <f>Qwww</f>
        <v>0</v>
      </c>
      <c r="P38" s="259" t="s">
        <v>787</v>
      </c>
    </row>
    <row r="39" spans="2:14" ht="14.25" thickBot="1">
      <c r="B39" s="307"/>
      <c r="C39" s="307"/>
      <c r="D39" s="307"/>
      <c r="E39" s="259" t="str">
        <f>Sprache!B304</f>
        <v> Anteil QWW mit elektrischem Widerstand (El. doppelt gewichtet)</v>
      </c>
      <c r="M39" s="309" t="s">
        <v>826</v>
      </c>
      <c r="N39" s="327">
        <f>Rechengang!J21</f>
        <v>0</v>
      </c>
    </row>
    <row r="40" spans="2:16" ht="15.75" thickBot="1">
      <c r="B40" s="307"/>
      <c r="C40" s="307"/>
      <c r="D40" s="307"/>
      <c r="E40" s="259" t="str">
        <f>Sprache!B305</f>
        <v> Eff. Bedarf Heizung + Warmwasser</v>
      </c>
      <c r="M40" s="315" t="s">
        <v>375</v>
      </c>
      <c r="N40" s="328">
        <f>(N35*(1+N36))+(N38*(1+N39))+2*N37</f>
        <v>0</v>
      </c>
      <c r="O40" s="310" t="s">
        <v>795</v>
      </c>
      <c r="P40" s="259" t="s">
        <v>787</v>
      </c>
    </row>
    <row r="41" spans="2:16" ht="15.75" thickBot="1">
      <c r="B41" s="307"/>
      <c r="C41" s="307"/>
      <c r="D41" s="307"/>
      <c r="E41" s="259" t="str">
        <f>Sprache!B306</f>
        <v> Nettobeitrag erneuerbare Energien (Bitte Berechnung beilegen):</v>
      </c>
      <c r="N41" s="328">
        <f>Rechengang!J41</f>
        <v>0</v>
      </c>
      <c r="O41" s="310" t="s">
        <v>796</v>
      </c>
      <c r="P41" s="259" t="s">
        <v>787</v>
      </c>
    </row>
    <row r="42" spans="2:16" ht="15.75" thickBot="1">
      <c r="B42" s="307"/>
      <c r="C42" s="307"/>
      <c r="D42" s="307"/>
      <c r="E42" s="259" t="str">
        <f>Sprache!B307</f>
        <v> Berechneter Bedarf gedeckt mit nichterneuerbaren Energien:</v>
      </c>
      <c r="M42" s="311" t="s">
        <v>802</v>
      </c>
      <c r="N42" s="329">
        <f>N40-N41</f>
        <v>0</v>
      </c>
      <c r="O42" s="310" t="s">
        <v>797</v>
      </c>
      <c r="P42" s="259" t="s">
        <v>787</v>
      </c>
    </row>
    <row r="43" spans="2:16" ht="6" customHeight="1" thickTop="1">
      <c r="B43" s="308"/>
      <c r="C43" s="308"/>
      <c r="D43" s="308"/>
      <c r="E43" s="301"/>
      <c r="F43" s="263"/>
      <c r="G43" s="263"/>
      <c r="H43" s="263"/>
      <c r="I43" s="263"/>
      <c r="J43" s="263"/>
      <c r="K43" s="263"/>
      <c r="L43" s="263"/>
      <c r="M43" s="263"/>
      <c r="N43" s="263"/>
      <c r="O43" s="263"/>
      <c r="P43" s="263"/>
    </row>
    <row r="44" spans="2:4" ht="6" customHeight="1">
      <c r="B44" s="306"/>
      <c r="C44" s="306"/>
      <c r="D44" s="306"/>
    </row>
    <row r="45" spans="2:18" ht="15">
      <c r="B45" s="307"/>
      <c r="C45" s="307"/>
      <c r="D45" s="307"/>
      <c r="E45" s="314" t="str">
        <f>Sprache!B308</f>
        <v> Bilanz</v>
      </c>
      <c r="F45" s="333" t="s">
        <v>355</v>
      </c>
      <c r="G45" s="269" t="str">
        <f>Sprache!B309</f>
        <v>   80%-Bedingung:</v>
      </c>
      <c r="I45" s="310"/>
      <c r="J45" s="310" t="s">
        <v>353</v>
      </c>
      <c r="M45" s="313" t="str">
        <f>Sprache!B331</f>
        <v>Erfüllt?</v>
      </c>
      <c r="N45" s="258" t="s">
        <v>820</v>
      </c>
      <c r="P45" s="258" t="str">
        <f>IF(R45,Sprache!B332,Sprache!B333)</f>
        <v>Ja</v>
      </c>
      <c r="R45" s="321" t="b">
        <f>IF(N42&lt;=N30,TRUE,FALSE)</f>
        <v>1</v>
      </c>
    </row>
    <row r="46" spans="2:16" ht="5.25" customHeight="1">
      <c r="B46" s="308"/>
      <c r="C46" s="308"/>
      <c r="D46" s="308"/>
      <c r="E46" s="301"/>
      <c r="F46" s="263"/>
      <c r="G46" s="263"/>
      <c r="H46" s="263"/>
      <c r="I46" s="263"/>
      <c r="J46" s="263"/>
      <c r="K46" s="263"/>
      <c r="L46" s="263"/>
      <c r="M46" s="263"/>
      <c r="N46" s="263"/>
      <c r="O46" s="263"/>
      <c r="P46" s="263"/>
    </row>
    <row r="47" ht="3.75" customHeight="1"/>
    <row r="48" spans="2:19" ht="12.75">
      <c r="B48" s="266" t="str">
        <f>Sprache!B310</f>
        <v>Kennzahlen:</v>
      </c>
      <c r="E48" s="266"/>
      <c r="F48" s="315" t="str">
        <f>Sprache!B311</f>
        <v>Wärmedämmung:   </v>
      </c>
      <c r="G48" s="324">
        <f>IF(J27&gt;0,N35/J27,)</f>
        <v>0</v>
      </c>
      <c r="H48" s="266"/>
      <c r="M48" s="315" t="str">
        <f>Sprache!B312</f>
        <v>Anteil nichterneuerbarer Energie:   </v>
      </c>
      <c r="N48" s="324">
        <f>IF(N29&gt;0,N42/N29,)</f>
        <v>0</v>
      </c>
      <c r="O48" s="266"/>
      <c r="S48" s="266" t="str">
        <f>Sprache!B334</f>
        <v>Falls eine andere Prozentzahl als 80% als Bedingung für den Höchstanteil angesetzt ist, ist hier ersichtlich, ob die Anforderung erfüllt ist.</v>
      </c>
    </row>
    <row r="49" spans="2:19" ht="9" customHeight="1">
      <c r="B49" s="263"/>
      <c r="C49" s="263"/>
      <c r="D49" s="263"/>
      <c r="E49" s="263"/>
      <c r="F49" s="263"/>
      <c r="G49" s="263"/>
      <c r="H49" s="263"/>
      <c r="I49" s="263"/>
      <c r="J49" s="263"/>
      <c r="K49" s="263"/>
      <c r="L49" s="263"/>
      <c r="M49" s="263"/>
      <c r="N49" s="263"/>
      <c r="O49" s="263"/>
      <c r="P49" s="263"/>
      <c r="S49" s="266"/>
    </row>
    <row r="50" ht="18.75" customHeight="1">
      <c r="B50" s="303" t="str">
        <f>Sprache!B313</f>
        <v>Beilagen / Erläuterungen</v>
      </c>
    </row>
    <row r="51" spans="2:16" ht="16.5" customHeight="1">
      <c r="B51" s="436"/>
      <c r="C51" s="436"/>
      <c r="D51" s="436"/>
      <c r="E51" s="436"/>
      <c r="F51" s="436"/>
      <c r="G51" s="436"/>
      <c r="H51" s="436"/>
      <c r="I51" s="436"/>
      <c r="J51" s="436"/>
      <c r="K51" s="436"/>
      <c r="L51" s="436"/>
      <c r="M51" s="436"/>
      <c r="N51" s="436"/>
      <c r="O51" s="436"/>
      <c r="P51" s="436"/>
    </row>
    <row r="52" spans="2:16" ht="16.5" customHeight="1">
      <c r="B52" s="427"/>
      <c r="C52" s="427"/>
      <c r="D52" s="427"/>
      <c r="E52" s="427"/>
      <c r="F52" s="427"/>
      <c r="G52" s="427"/>
      <c r="H52" s="427"/>
      <c r="I52" s="427"/>
      <c r="J52" s="427"/>
      <c r="K52" s="427"/>
      <c r="L52" s="427"/>
      <c r="M52" s="427"/>
      <c r="N52" s="427"/>
      <c r="O52" s="427"/>
      <c r="P52" s="427"/>
    </row>
    <row r="53" spans="2:16" ht="6" customHeight="1">
      <c r="B53" s="316"/>
      <c r="C53" s="316"/>
      <c r="D53" s="316"/>
      <c r="E53" s="316"/>
      <c r="F53" s="316"/>
      <c r="G53" s="316"/>
      <c r="H53" s="316"/>
      <c r="I53" s="316"/>
      <c r="J53" s="316"/>
      <c r="K53" s="316"/>
      <c r="L53" s="316"/>
      <c r="M53" s="316"/>
      <c r="N53" s="316"/>
      <c r="O53" s="316"/>
      <c r="P53" s="316"/>
    </row>
    <row r="54" ht="18.75" customHeight="1">
      <c r="B54" s="303" t="str">
        <f>Sprache!B314</f>
        <v>Unterschriften</v>
      </c>
    </row>
    <row r="55" spans="6:12" ht="12.75">
      <c r="F55" s="317" t="str">
        <f>Sprache!B315</f>
        <v> Nachweis erarbeitet durch:</v>
      </c>
      <c r="K55" s="317" t="str">
        <f>Sprache!B316</f>
        <v> Nachweisprüfung / Private Kontrolle:</v>
      </c>
      <c r="L55" s="265"/>
    </row>
    <row r="56" spans="6:12" ht="12.75">
      <c r="F56" s="299"/>
      <c r="K56" s="318" t="str">
        <f>Sprache!B317</f>
        <v> Die Vollständigkeit und Richtigkeit bescheinigt</v>
      </c>
      <c r="L56" s="265"/>
    </row>
    <row r="57" spans="6:12" ht="5.25" customHeight="1">
      <c r="F57" s="299"/>
      <c r="K57" s="299"/>
      <c r="L57" s="265"/>
    </row>
    <row r="58" spans="2:16" ht="12.75">
      <c r="B58" s="259" t="str">
        <f>Sprache!B318</f>
        <v>Name und Adresse</v>
      </c>
      <c r="F58" s="433"/>
      <c r="G58" s="434"/>
      <c r="H58" s="434"/>
      <c r="I58" s="434"/>
      <c r="J58" s="435"/>
      <c r="K58" s="433"/>
      <c r="L58" s="434"/>
      <c r="M58" s="434"/>
      <c r="N58" s="434"/>
      <c r="O58" s="434"/>
      <c r="P58" s="434"/>
    </row>
    <row r="59" spans="2:16" ht="12.75">
      <c r="B59" s="259" t="str">
        <f>Sprache!B319</f>
        <v>bzw. Firmenstempel</v>
      </c>
      <c r="F59" s="433"/>
      <c r="G59" s="434"/>
      <c r="H59" s="434"/>
      <c r="I59" s="434"/>
      <c r="J59" s="435"/>
      <c r="K59" s="433"/>
      <c r="L59" s="434"/>
      <c r="M59" s="434"/>
      <c r="N59" s="434"/>
      <c r="O59" s="434"/>
      <c r="P59" s="434"/>
    </row>
    <row r="60" spans="6:16" ht="12.75">
      <c r="F60" s="431"/>
      <c r="G60" s="427"/>
      <c r="H60" s="427"/>
      <c r="I60" s="427"/>
      <c r="J60" s="432"/>
      <c r="K60" s="431"/>
      <c r="L60" s="427"/>
      <c r="M60" s="427"/>
      <c r="N60" s="427"/>
      <c r="O60" s="427"/>
      <c r="P60" s="427"/>
    </row>
    <row r="61" spans="6:12" ht="3" customHeight="1">
      <c r="F61" s="299"/>
      <c r="K61" s="299"/>
      <c r="L61" s="265"/>
    </row>
    <row r="62" spans="2:16" ht="12.75">
      <c r="B62" s="259" t="str">
        <f>Sprache!B320</f>
        <v>Sachbearbeiter/-in, Tel.:</v>
      </c>
      <c r="F62" s="431"/>
      <c r="G62" s="427"/>
      <c r="H62" s="427"/>
      <c r="I62" s="427"/>
      <c r="J62" s="432"/>
      <c r="K62" s="431"/>
      <c r="L62" s="427"/>
      <c r="M62" s="427"/>
      <c r="N62" s="427"/>
      <c r="O62" s="427"/>
      <c r="P62" s="427"/>
    </row>
    <row r="63" spans="2:16" ht="12.75">
      <c r="B63" s="259" t="str">
        <f>Sprache!B321</f>
        <v>Ort, Datum, Unterschrift:</v>
      </c>
      <c r="F63" s="437"/>
      <c r="G63" s="438"/>
      <c r="H63" s="438"/>
      <c r="I63" s="438"/>
      <c r="J63" s="439"/>
      <c r="K63" s="437"/>
      <c r="L63" s="438"/>
      <c r="M63" s="438"/>
      <c r="N63" s="438"/>
      <c r="O63" s="438"/>
      <c r="P63" s="438"/>
    </row>
    <row r="64" spans="6:16" ht="12.75">
      <c r="F64" s="431"/>
      <c r="G64" s="427"/>
      <c r="H64" s="427"/>
      <c r="I64" s="427"/>
      <c r="J64" s="432"/>
      <c r="K64" s="431"/>
      <c r="L64" s="427"/>
      <c r="M64" s="427"/>
      <c r="N64" s="427"/>
      <c r="O64" s="427"/>
      <c r="P64" s="427"/>
    </row>
    <row r="65" ht="3.75" customHeight="1">
      <c r="K65" s="296"/>
    </row>
    <row r="66" spans="11:14" ht="12.75">
      <c r="K66" s="318" t="str">
        <f>Sprache!B322</f>
        <v>Ausführungskontrolle:</v>
      </c>
      <c r="N66" s="259" t="str">
        <f>Sprache!B323</f>
        <v>     gleiche Person</v>
      </c>
    </row>
    <row r="67" spans="11:14" ht="3" customHeight="1">
      <c r="K67" s="318"/>
      <c r="N67" s="259"/>
    </row>
    <row r="68" spans="11:16" ht="12.75">
      <c r="K68" s="379" t="str">
        <f>Sprache!B324</f>
        <v>oder:</v>
      </c>
      <c r="L68" s="427"/>
      <c r="M68" s="427"/>
      <c r="N68" s="427"/>
      <c r="O68" s="427"/>
      <c r="P68" s="427"/>
    </row>
    <row r="69" spans="2:16" ht="5.25" customHeight="1">
      <c r="B69" s="263"/>
      <c r="C69" s="263"/>
      <c r="D69" s="263"/>
      <c r="E69" s="263"/>
      <c r="F69" s="263"/>
      <c r="G69" s="263"/>
      <c r="H69" s="263"/>
      <c r="I69" s="263"/>
      <c r="J69" s="263"/>
      <c r="K69" s="301"/>
      <c r="L69" s="263"/>
      <c r="M69" s="263"/>
      <c r="N69" s="263"/>
      <c r="O69" s="263"/>
      <c r="P69" s="263"/>
    </row>
    <row r="70" spans="2:16" ht="10.5" customHeight="1">
      <c r="B70" s="357" t="str">
        <f>Sprache!B330</f>
        <v>RechNach.xls / Version 7.0</v>
      </c>
      <c r="C70" s="357"/>
      <c r="D70" s="357"/>
      <c r="E70" s="357"/>
      <c r="F70" s="357"/>
      <c r="G70" s="357"/>
      <c r="H70" s="357"/>
      <c r="I70" s="357"/>
      <c r="J70" s="357"/>
      <c r="K70" s="357"/>
      <c r="L70" s="357"/>
      <c r="M70" s="357"/>
      <c r="N70" s="357"/>
      <c r="O70" s="357"/>
      <c r="P70" s="334" t="str">
        <f>Sprache!B326</f>
        <v>gültig bis 31.12.2022</v>
      </c>
    </row>
    <row r="71" ht="9" customHeight="1">
      <c r="P71" s="334"/>
    </row>
  </sheetData>
  <sheetProtection password="D2AA" sheet="1" objects="1" scenarios="1"/>
  <mergeCells count="25">
    <mergeCell ref="L68:P68"/>
    <mergeCell ref="B51:P51"/>
    <mergeCell ref="B52:P52"/>
    <mergeCell ref="F62:J62"/>
    <mergeCell ref="K62:P62"/>
    <mergeCell ref="F63:J63"/>
    <mergeCell ref="K63:P63"/>
    <mergeCell ref="F58:J58"/>
    <mergeCell ref="B18:B23"/>
    <mergeCell ref="C18:C23"/>
    <mergeCell ref="D18:D23"/>
    <mergeCell ref="K64:P64"/>
    <mergeCell ref="F64:J64"/>
    <mergeCell ref="F59:J59"/>
    <mergeCell ref="F60:J60"/>
    <mergeCell ref="K58:P58"/>
    <mergeCell ref="K59:P59"/>
    <mergeCell ref="K60:P60"/>
    <mergeCell ref="E8:P8"/>
    <mergeCell ref="K3:P3"/>
    <mergeCell ref="K4:P4"/>
    <mergeCell ref="K5:P5"/>
    <mergeCell ref="I4:J4"/>
    <mergeCell ref="E7:I7"/>
    <mergeCell ref="O7:P7"/>
  </mergeCells>
  <conditionalFormatting sqref="G48 N48 J27:J28 N29:N30 N35:N42">
    <cfRule type="expression" priority="1" dxfId="2" stopIfTrue="1">
      <formula>$R$26=FALSE</formula>
    </cfRule>
  </conditionalFormatting>
  <conditionalFormatting sqref="P45">
    <cfRule type="expression" priority="2" dxfId="1" stopIfTrue="1">
      <formula>$R$26=FALSE</formula>
    </cfRule>
    <cfRule type="expression" priority="3" dxfId="0" stopIfTrue="1">
      <formula>$R$45=FALSE</formula>
    </cfRule>
  </conditionalFormatting>
  <printOptions/>
  <pageMargins left="0.65" right="0.25" top="0.64" bottom="0.27" header="0.64" footer="0.2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113"/>
  <sheetViews>
    <sheetView showZeros="0" zoomScalePageLayoutView="0" workbookViewId="0" topLeftCell="A1">
      <selection activeCell="A1" sqref="A1"/>
    </sheetView>
  </sheetViews>
  <sheetFormatPr defaultColWidth="11.57421875" defaultRowHeight="12.75"/>
  <cols>
    <col min="1" max="1" width="2.00390625" style="29" customWidth="1"/>
    <col min="2" max="2" width="30.421875" style="33" customWidth="1"/>
    <col min="3" max="3" width="5.00390625" style="33" customWidth="1"/>
    <col min="4" max="4" width="8.28125" style="33" customWidth="1"/>
    <col min="5" max="8" width="9.7109375" style="33" customWidth="1"/>
    <col min="9" max="9" width="0.71875" style="33" customWidth="1"/>
    <col min="10" max="10" width="9.7109375" style="33" customWidth="1"/>
    <col min="11" max="11" width="13.00390625" style="33" customWidth="1"/>
    <col min="12" max="24" width="11.57421875" style="33" hidden="1" customWidth="1"/>
    <col min="25" max="25" width="21.28125" style="232" hidden="1" customWidth="1"/>
    <col min="26" max="32" width="11.57421875" style="29" hidden="1" customWidth="1"/>
    <col min="33" max="33" width="35.00390625" style="29" customWidth="1"/>
    <col min="34" max="34" width="11.57421875" style="29" customWidth="1"/>
    <col min="35" max="16384" width="11.57421875" style="33" customWidth="1"/>
  </cols>
  <sheetData>
    <row r="1" spans="2:25" ht="12">
      <c r="B1" s="30"/>
      <c r="C1" s="30"/>
      <c r="D1" s="30"/>
      <c r="E1" s="30"/>
      <c r="F1" s="30"/>
      <c r="G1" s="30"/>
      <c r="H1" s="31" t="str">
        <f>Sprache!B348</f>
        <v>Beilage / Seite:</v>
      </c>
      <c r="I1" s="30"/>
      <c r="J1" s="32"/>
      <c r="Y1" s="37" t="s">
        <v>62</v>
      </c>
    </row>
    <row r="2" spans="2:26" ht="15">
      <c r="B2" s="206" t="str">
        <f>Sprache!B347</f>
        <v>Projekt:</v>
      </c>
      <c r="C2" s="30"/>
      <c r="D2" s="30"/>
      <c r="E2" s="30"/>
      <c r="F2" s="30"/>
      <c r="G2" s="30"/>
      <c r="H2" s="30"/>
      <c r="I2" s="30"/>
      <c r="J2" s="245" t="str">
        <f>Sprache!B330</f>
        <v>RechNach.xls / Version 7.0</v>
      </c>
      <c r="S2" s="251" t="s">
        <v>64</v>
      </c>
      <c r="T2" s="252">
        <f>IF(V2&gt;1,V2,Input!C6)</f>
        <v>0</v>
      </c>
      <c r="U2" s="253">
        <f>IF(Kategorie1=0,"",IF(INDEX($T$51:$T$63,T2,)&lt;&gt;"",INDEX($T$51:$T$63,T2,),""))</f>
      </c>
      <c r="V2" s="254">
        <v>1</v>
      </c>
      <c r="Y2" s="247">
        <v>1</v>
      </c>
      <c r="Z2" s="29">
        <f>IF(Y2&gt;1,Y2,IF(Input!C4&gt;1,Input!C4,57))</f>
        <v>57</v>
      </c>
    </row>
    <row r="3" spans="2:22" ht="15" customHeight="1">
      <c r="B3" s="441">
        <f>Input!C1</f>
        <v>0</v>
      </c>
      <c r="C3" s="442"/>
      <c r="D3" s="442"/>
      <c r="E3" s="442"/>
      <c r="F3" s="442"/>
      <c r="G3" s="442"/>
      <c r="H3" s="442"/>
      <c r="I3" s="442"/>
      <c r="J3" s="443"/>
      <c r="S3" s="251" t="s">
        <v>65</v>
      </c>
      <c r="T3" s="252">
        <f>IF(V3&gt;1,V3,Input!C25)</f>
        <v>0</v>
      </c>
      <c r="U3" s="253">
        <f>IF(Kategorie2=0,"",IF(INDEX($T$51:$T$63,T3,)&lt;&gt;"",INDEX($T$51:$T$63,T3,),""))</f>
      </c>
      <c r="V3" s="254">
        <v>1</v>
      </c>
    </row>
    <row r="4" spans="2:22" ht="15" customHeight="1">
      <c r="B4" s="444">
        <f>Input!C2</f>
        <v>0</v>
      </c>
      <c r="C4" s="445"/>
      <c r="D4" s="445"/>
      <c r="E4" s="445"/>
      <c r="F4" s="445"/>
      <c r="G4" s="445"/>
      <c r="H4" s="445"/>
      <c r="I4" s="445"/>
      <c r="J4" s="446"/>
      <c r="S4" s="251" t="s">
        <v>66</v>
      </c>
      <c r="T4" s="252">
        <f>IF(V4&gt;1,V4,Input!C44)</f>
        <v>0</v>
      </c>
      <c r="U4" s="253">
        <f>IF(Kategorie3=0,"",IF(INDEX($T$51:$T$63,T4,)&lt;&gt;"",INDEX($T$51:$T$63,T4,),""))</f>
      </c>
      <c r="V4" s="254">
        <v>1</v>
      </c>
    </row>
    <row r="5" spans="2:22" ht="15" customHeight="1">
      <c r="B5" s="447">
        <f>Input!C3</f>
        <v>0</v>
      </c>
      <c r="C5" s="448"/>
      <c r="D5" s="448"/>
      <c r="E5" s="448"/>
      <c r="F5" s="448"/>
      <c r="G5" s="448"/>
      <c r="H5" s="448"/>
      <c r="I5" s="448"/>
      <c r="J5" s="449"/>
      <c r="S5" s="251" t="s">
        <v>67</v>
      </c>
      <c r="T5" s="252">
        <f>IF(V5&gt;1,V5,Input!C63)</f>
        <v>0</v>
      </c>
      <c r="U5" s="253">
        <f>IF(Kategorie4=0,"",IF(INDEX($T$51:$T$63,T5,)&lt;&gt;"",INDEX($T$51:$T$63,T5,),""))</f>
      </c>
      <c r="V5" s="254">
        <v>1</v>
      </c>
    </row>
    <row r="6" spans="2:10" ht="12">
      <c r="B6" s="30"/>
      <c r="C6" s="30"/>
      <c r="D6" s="30"/>
      <c r="E6" s="30"/>
      <c r="F6" s="30"/>
      <c r="G6" s="30"/>
      <c r="H6" s="30"/>
      <c r="I6" s="30"/>
      <c r="J6" s="30"/>
    </row>
    <row r="7" spans="2:10" ht="19.5" customHeight="1">
      <c r="B7" s="207" t="str">
        <f>Sprache!B350</f>
        <v>Gebäudedaten</v>
      </c>
      <c r="C7" s="34"/>
      <c r="D7" s="284" t="str">
        <f>Sprache!B351</f>
        <v>Gebäudestandort</v>
      </c>
      <c r="E7" s="255">
        <f>Input!C5</f>
        <v>0</v>
      </c>
      <c r="F7" s="285" t="str">
        <f>Sprache!B352</f>
        <v>m.ü.M.</v>
      </c>
      <c r="G7" s="335" t="str">
        <f>Sprache!B353</f>
        <v>Klimastation: </v>
      </c>
      <c r="H7" s="231">
        <f>Z2</f>
        <v>57</v>
      </c>
      <c r="I7" s="34"/>
      <c r="J7" s="35">
        <f>INDEX(AE52:AE109,H7,1,1)</f>
        <v>0</v>
      </c>
    </row>
    <row r="8" spans="2:10" ht="17.25" customHeight="1">
      <c r="B8" s="39" t="str">
        <f>Sprache!B354</f>
        <v>(Diese sind der Heizwärmebedarfsberechnung gemäss SIA 380/1 zu entnehmen.)</v>
      </c>
      <c r="C8" s="40"/>
      <c r="D8" s="40"/>
      <c r="E8" s="40"/>
      <c r="F8" s="40"/>
      <c r="G8" s="40"/>
      <c r="H8" s="268" t="str">
        <f>IF(Y2&gt;1,"","Zürich SMA")</f>
        <v>Zürich SMA</v>
      </c>
      <c r="I8" s="40"/>
      <c r="J8" s="267"/>
    </row>
    <row r="9" spans="2:10" ht="17.25" customHeight="1">
      <c r="B9" s="44" t="str">
        <f>Sprache!B355</f>
        <v>Thermische Zone</v>
      </c>
      <c r="C9" s="45"/>
      <c r="D9" s="45"/>
      <c r="E9" s="46">
        <v>1</v>
      </c>
      <c r="F9" s="46">
        <v>2</v>
      </c>
      <c r="G9" s="46">
        <v>3</v>
      </c>
      <c r="H9" s="46">
        <v>4</v>
      </c>
      <c r="I9" s="47"/>
      <c r="J9" s="48" t="str">
        <f>Sprache!B356</f>
        <v>Summe</v>
      </c>
    </row>
    <row r="10" spans="2:10" ht="17.25" customHeight="1">
      <c r="B10" s="52" t="str">
        <f>Sprache!B358</f>
        <v>Gebäudekategorie</v>
      </c>
      <c r="C10" s="53"/>
      <c r="D10" s="54"/>
      <c r="E10" s="55"/>
      <c r="F10" s="55"/>
      <c r="G10" s="56"/>
      <c r="H10" s="55"/>
      <c r="I10" s="40"/>
      <c r="J10" s="57" t="str">
        <f>Sprache!B357</f>
        <v>(Mittel)</v>
      </c>
    </row>
    <row r="11" spans="2:10" ht="17.25" customHeight="1">
      <c r="B11" s="52" t="str">
        <f>Sprache!B359</f>
        <v>Energiebezugsfläche EBF</v>
      </c>
      <c r="C11" s="58" t="s">
        <v>125</v>
      </c>
      <c r="D11" s="58" t="s">
        <v>1009</v>
      </c>
      <c r="E11" s="59">
        <f>Input!C8</f>
        <v>0</v>
      </c>
      <c r="F11" s="59">
        <f>Input!C27</f>
        <v>0</v>
      </c>
      <c r="G11" s="59">
        <f>Input!C46</f>
        <v>0</v>
      </c>
      <c r="H11" s="59">
        <f>Input!C65</f>
        <v>0</v>
      </c>
      <c r="I11" s="60"/>
      <c r="J11" s="61">
        <f>SUM(E11:H11)</f>
        <v>0</v>
      </c>
    </row>
    <row r="12" spans="2:10" ht="17.25" customHeight="1">
      <c r="B12" s="52" t="str">
        <f>Sprache!B360</f>
        <v>Gebäudehüllzahl</v>
      </c>
      <c r="C12" s="58" t="s">
        <v>127</v>
      </c>
      <c r="D12" s="58" t="str">
        <f>"-"</f>
        <v>-</v>
      </c>
      <c r="E12" s="62">
        <f>Input!C9</f>
        <v>0</v>
      </c>
      <c r="F12" s="62">
        <f>Input!C28</f>
        <v>0</v>
      </c>
      <c r="G12" s="62">
        <f>Input!C47</f>
        <v>0</v>
      </c>
      <c r="H12" s="62">
        <f>Input!C66</f>
        <v>0</v>
      </c>
      <c r="I12" s="60"/>
      <c r="J12" s="63">
        <f>IF(J$11=0,0,(E12*E$11+F12*F$11+G12*G$11+H12*H$11)/J$11)</f>
        <v>0</v>
      </c>
    </row>
    <row r="13" spans="2:34" ht="17.25" customHeight="1">
      <c r="B13" s="52" t="str">
        <f>Sprache!B361</f>
        <v>Heizwärmebedarf</v>
      </c>
      <c r="C13" s="58" t="s">
        <v>765</v>
      </c>
      <c r="D13" s="58" t="s">
        <v>1011</v>
      </c>
      <c r="E13" s="59">
        <f>Input!C10</f>
        <v>0</v>
      </c>
      <c r="F13" s="59">
        <f>Input!C29</f>
        <v>0</v>
      </c>
      <c r="G13" s="59">
        <f>Input!C48</f>
        <v>0</v>
      </c>
      <c r="H13" s="59">
        <f>Input!C67</f>
        <v>0</v>
      </c>
      <c r="I13" s="60"/>
      <c r="J13" s="61">
        <f>IF(EBF=0,0,(_Qh1*_EBF1+_Qh2*_EBF2+_Qh3*_EBF3+_Qh4*_EBF4)/EBF)</f>
        <v>0</v>
      </c>
      <c r="AG13" s="361" t="str">
        <f>Sprache!B399</f>
        <v>Heizwärmebedarf Qh,eff:</v>
      </c>
      <c r="AH13" s="360" t="str">
        <f>Sprache!B400</f>
        <v>Kann aus der Berechnung SIA 380/1 entnommen werden. Berechnet mit effektivem, thermisch wirksamen Aussenluftvolumenstrom (WRG kann berücksichtigt werden).</v>
      </c>
    </row>
    <row r="14" spans="2:10" ht="17.25" customHeight="1">
      <c r="B14" s="52" t="s">
        <v>177</v>
      </c>
      <c r="C14" s="58" t="s">
        <v>1012</v>
      </c>
      <c r="D14" s="58" t="str">
        <f>"-"</f>
        <v>-</v>
      </c>
      <c r="E14" s="287">
        <f>Input!C11</f>
        <v>0</v>
      </c>
      <c r="F14" s="287">
        <f>Input!C30</f>
        <v>0</v>
      </c>
      <c r="G14" s="287">
        <f>Input!C49</f>
        <v>0</v>
      </c>
      <c r="H14" s="287">
        <f>Input!C68</f>
        <v>0</v>
      </c>
      <c r="J14" s="282"/>
    </row>
    <row r="15" spans="2:10" ht="17.25" customHeight="1" hidden="1">
      <c r="B15" s="283" t="s">
        <v>176</v>
      </c>
      <c r="C15" s="58" t="s">
        <v>1012</v>
      </c>
      <c r="D15" s="58" t="str">
        <f>"-"</f>
        <v>-</v>
      </c>
      <c r="E15" s="286">
        <f>IF(_EBF1&gt;0,MAX(E14,0),0)</f>
        <v>0</v>
      </c>
      <c r="F15" s="286">
        <f>IF(_EBF2&gt;0,MAX(F14,0),0)</f>
        <v>0</v>
      </c>
      <c r="G15" s="286">
        <f>IF(_EBF3&gt;0,MAX(G14,0),0)</f>
        <v>0</v>
      </c>
      <c r="H15" s="286">
        <f>IF(_EBF4&gt;0,MAX(H14,0),0)</f>
        <v>0</v>
      </c>
      <c r="I15" s="60"/>
      <c r="J15" s="224">
        <f>IF(EBF=0,0,(Elektro1*_EBF1*_Qh1+Elektro2*_EBF2*_Qh2+Elektro3*_EBF3*_Qh3+Elektro4*_EBF4*_Qh4)/EBF/Qh)</f>
        <v>0</v>
      </c>
    </row>
    <row r="16" spans="2:10" ht="17.25" customHeight="1">
      <c r="B16" s="238"/>
      <c r="C16" s="210" t="s">
        <v>129</v>
      </c>
      <c r="D16" s="58" t="s">
        <v>1011</v>
      </c>
      <c r="E16" s="58">
        <f>IF(SUM(E11:E12)=0,0,INDEX($U$51:$U$63,$T$2,))</f>
        <v>0</v>
      </c>
      <c r="F16" s="58">
        <f>IF(SUM(F11:F12)=0,0,INDEX($U$51:$U$63,$T$3,))</f>
        <v>0</v>
      </c>
      <c r="G16" s="58">
        <f>IF(SUM(G11:G12)=0,0,INDEX($U$51:$U$63,$T$4,))</f>
        <v>0</v>
      </c>
      <c r="H16" s="58">
        <f>IF(SUM(H11:H12)=0,0,INDEX($U$51:$U$63,$T$5,))</f>
        <v>0</v>
      </c>
      <c r="I16" s="60"/>
      <c r="J16" s="61"/>
    </row>
    <row r="17" spans="2:10" ht="17.25" customHeight="1">
      <c r="B17" s="52"/>
      <c r="C17" s="211" t="s">
        <v>130</v>
      </c>
      <c r="D17" s="58" t="s">
        <v>1011</v>
      </c>
      <c r="E17" s="64">
        <f>IF(SUM(E11:E12)=0,0,INDEX($V$51:$V$63,$T$2,))</f>
        <v>0</v>
      </c>
      <c r="F17" s="64">
        <f>IF(SUM(F11:F12)=0,0,INDEX($V$51:$V$63,$T$3,))</f>
        <v>0</v>
      </c>
      <c r="G17" s="64">
        <f>IF(SUM(G11:G12)=0,0,INDEX($V$51:$V$63,$T$4,))</f>
        <v>0</v>
      </c>
      <c r="H17" s="64">
        <f>IF(SUM(H11:H12)=0,0,INDEX($V$51:$V$63,$T$5,))</f>
        <v>0</v>
      </c>
      <c r="I17" s="60"/>
      <c r="J17" s="61"/>
    </row>
    <row r="18" spans="2:10" ht="17.25" customHeight="1">
      <c r="B18" s="52" t="str">
        <f>Sprache!B362</f>
        <v>Grenzwert Heizwärmebedarf</v>
      </c>
      <c r="C18" s="58" t="s">
        <v>128</v>
      </c>
      <c r="D18" s="58" t="s">
        <v>1011</v>
      </c>
      <c r="E18" s="65">
        <f>IF(Klima&gt;1,IF(SUM(E11:E12)=0,0,(E16+E17*AEBF1)*(1+(8.5-IF(Thetaea&lt;&gt;0,Thetaea,8.5))*0.08)),(E16+E17*AEBF1))</f>
        <v>0</v>
      </c>
      <c r="F18" s="65">
        <f>IF(Klima&gt;1,IF(SUM(F11:F11)=0,0,(F16+F17*AEBF2)*(1+(8.5-IF(Thetaea&lt;&gt;0,Thetaea,8.5))*0.08)),(F16+F17*AEBF2))</f>
        <v>0</v>
      </c>
      <c r="G18" s="65">
        <f>IF(Klima&gt;1,IF(SUM(G11:G12)=0,0,(G16+G17*AEBF3)*(1+(8.5-IF(Thetaea&lt;&gt;0,Thetaea,8.5))*0.08)),(G16+G17*AEBF3))</f>
        <v>0</v>
      </c>
      <c r="H18" s="65">
        <f>IF(Klima&gt;1,IF(SUM(H11:H12)=0,0,(H16+H17*AEBF4)*(1+(8.5-IF(Thetaea&lt;&gt;0,Thetaea,8.5))*0.08)),(H16+H17*AEBF4))</f>
        <v>0</v>
      </c>
      <c r="I18" s="60"/>
      <c r="J18" s="61">
        <f>IF(EBF=0,0,(E18*_EBF1+F18*_EBF2+G18*_EBF3+H18*_EBF4)/EBF)</f>
        <v>0</v>
      </c>
    </row>
    <row r="19" spans="2:10" ht="17.25" customHeight="1">
      <c r="B19" s="52" t="str">
        <f>Sprache!B363</f>
        <v>Warmwasserbedarf</v>
      </c>
      <c r="C19" s="58" t="s">
        <v>1007</v>
      </c>
      <c r="D19" s="58" t="s">
        <v>1011</v>
      </c>
      <c r="E19" s="65">
        <f>IF(SUM(E11:E12)=0,0,INDEX($W$51:$W$63,$T$2,))</f>
        <v>0</v>
      </c>
      <c r="F19" s="65">
        <f>IF(SUM(F11:F11)=0,0,INDEX($W$51:$W$63,$T$3,))</f>
        <v>0</v>
      </c>
      <c r="G19" s="65">
        <f>IF(SUM(G11:G12)=0,0,INDEX($W$51:$W$63,$T$4,))</f>
        <v>0</v>
      </c>
      <c r="H19" s="65">
        <f>IF(SUM(H11:H12)=0,0,INDEX($W$51:$W$63,$T$5,))</f>
        <v>0</v>
      </c>
      <c r="I19" s="60"/>
      <c r="J19" s="61">
        <f>IF(EBF=0,0,(E19*_EBF1+F19*_EBF2+G19*_EBF3+H19*_EBF4)/EBF)</f>
        <v>0</v>
      </c>
    </row>
    <row r="20" spans="2:34" ht="22.5" customHeight="1">
      <c r="B20" s="381" t="str">
        <f>Sprache!B364</f>
        <v>Anteil Qww: Elektrodirektheizung WW</v>
      </c>
      <c r="C20" s="67" t="s">
        <v>178</v>
      </c>
      <c r="D20" s="67" t="str">
        <f>"-"</f>
        <v>-</v>
      </c>
      <c r="E20" s="393">
        <f>Input!C24</f>
        <v>0</v>
      </c>
      <c r="F20" s="393">
        <f>Input!C43</f>
        <v>0</v>
      </c>
      <c r="G20" s="393">
        <f>Input!C62</f>
        <v>0</v>
      </c>
      <c r="H20" s="393">
        <f>Input!C81</f>
        <v>0</v>
      </c>
      <c r="I20" s="69"/>
      <c r="J20" s="394">
        <f>J21</f>
        <v>0</v>
      </c>
      <c r="AG20" s="361" t="str">
        <f>Sprache!B401</f>
        <v>Elektrodirektheizung,  Rechenwert:</v>
      </c>
      <c r="AH20" s="360" t="str">
        <f>Sprache!B402</f>
        <v>Als Vorschlagswert wird der Elektro-Anteil für das Warmwasser aus dem Blatt WP genommen, falls dort Elektro-Einsatz zur Nachwärmung oder im Parallelbetrieb bei der Wassererwärmung angewählt wurde, ansonsten ist der Vorschlagswert Null.</v>
      </c>
    </row>
    <row r="21" spans="2:10" ht="21.75" customHeight="1" hidden="1">
      <c r="B21" s="389" t="str">
        <f>Sprache!B365</f>
        <v> - Elektrodirektheizung : Rechenwert</v>
      </c>
      <c r="C21" s="105" t="s">
        <v>178</v>
      </c>
      <c r="D21" s="105" t="str">
        <f>"-"</f>
        <v>-</v>
      </c>
      <c r="E21" s="390">
        <f>IF(_EBF1&gt;0,MAX(E20,0),0)</f>
        <v>0</v>
      </c>
      <c r="F21" s="390">
        <f>IF(_EBF2&gt;0,MAX(F20,0),0)</f>
        <v>0</v>
      </c>
      <c r="G21" s="390">
        <f>IF(_EBF3&gt;0,MAX(G20,0),0)</f>
        <v>0</v>
      </c>
      <c r="H21" s="390">
        <f>IF(_EBF4&gt;0,MAX(H20,0),0)</f>
        <v>0</v>
      </c>
      <c r="I21" s="391"/>
      <c r="J21" s="392">
        <f>IF(EBF=0,0,(Elektro_WW1*_EBF1*E19+Elektro_WW2*_EBF2*F19+Elektro_WW3*_EBF3*G19+Elektro_WW4*_EBF4*H19)/EBF/Qwww)</f>
        <v>0</v>
      </c>
    </row>
    <row r="22" spans="2:34" ht="17.25" customHeight="1">
      <c r="B22" s="30"/>
      <c r="C22" s="30"/>
      <c r="D22" s="30"/>
      <c r="E22" s="30"/>
      <c r="F22" s="30"/>
      <c r="G22" s="30"/>
      <c r="H22" s="30"/>
      <c r="I22" s="30"/>
      <c r="J22" s="30"/>
      <c r="AH22" s="360" t="str">
        <f>Sprache!B403</f>
        <v>Der Rechenwert übernimmt den Vorschlagswert, sofern in der Zeile 20 kein Wert eingegeben wird.</v>
      </c>
    </row>
    <row r="23" spans="1:10" ht="17.25" customHeight="1">
      <c r="A23" s="73"/>
      <c r="B23" s="208" t="str">
        <f>Sprache!B366</f>
        <v>Zulässiger Energiebedarf</v>
      </c>
      <c r="C23" s="74"/>
      <c r="D23" s="74"/>
      <c r="E23" s="74"/>
      <c r="F23" s="74"/>
      <c r="G23" s="74"/>
      <c r="H23" s="74"/>
      <c r="I23" s="74"/>
      <c r="J23" s="75"/>
    </row>
    <row r="24" spans="1:10" ht="17.25" customHeight="1">
      <c r="A24" s="73"/>
      <c r="B24" s="52" t="str">
        <f>Sprache!B367</f>
        <v>      für Heizung</v>
      </c>
      <c r="C24" s="53"/>
      <c r="D24" s="53"/>
      <c r="E24" s="53"/>
      <c r="F24" s="53"/>
      <c r="G24" s="58"/>
      <c r="H24" s="58" t="s">
        <v>1011</v>
      </c>
      <c r="I24" s="53"/>
      <c r="J24" s="61">
        <f>J18</f>
        <v>0</v>
      </c>
    </row>
    <row r="25" spans="1:10" ht="17.25" customHeight="1">
      <c r="A25" s="73"/>
      <c r="B25" s="52" t="str">
        <f>Sprache!B368</f>
        <v>      für Warmwasser</v>
      </c>
      <c r="C25" s="53"/>
      <c r="D25" s="53"/>
      <c r="E25" s="53"/>
      <c r="F25" s="53"/>
      <c r="G25" s="58"/>
      <c r="H25" s="58" t="s">
        <v>1011</v>
      </c>
      <c r="I25" s="53"/>
      <c r="J25" s="61">
        <f>J19</f>
        <v>0</v>
      </c>
    </row>
    <row r="26" spans="1:10" ht="17.25" customHeight="1">
      <c r="A26" s="73"/>
      <c r="B26" s="76" t="str">
        <f>Sprache!B369</f>
        <v>   für Heizung und Warmwasser</v>
      </c>
      <c r="C26" s="53"/>
      <c r="D26" s="53"/>
      <c r="E26" s="53"/>
      <c r="F26" s="53"/>
      <c r="G26" s="58" t="s">
        <v>662</v>
      </c>
      <c r="H26" s="58" t="s">
        <v>1011</v>
      </c>
      <c r="I26" s="53"/>
      <c r="J26" s="61">
        <f>J24+J25</f>
        <v>0</v>
      </c>
    </row>
    <row r="27" spans="1:10" ht="12.75" customHeight="1">
      <c r="A27" s="73"/>
      <c r="B27" s="77" t="str">
        <f>Sprache!B370</f>
        <v>Höchstanteil an nichterneuerbaren Energien</v>
      </c>
      <c r="C27" s="78"/>
      <c r="D27" s="78"/>
      <c r="E27" s="78"/>
      <c r="F27" s="78"/>
      <c r="G27" s="79" t="str">
        <f>"(80%)"</f>
        <v>(80%)</v>
      </c>
      <c r="H27" s="80" t="s">
        <v>1011</v>
      </c>
      <c r="I27" s="78"/>
      <c r="J27" s="81">
        <f>0.8*J26</f>
        <v>0</v>
      </c>
    </row>
    <row r="28" spans="1:10" ht="17.25" customHeight="1">
      <c r="A28" s="73"/>
      <c r="B28" s="30"/>
      <c r="C28" s="30"/>
      <c r="D28" s="30"/>
      <c r="E28" s="30"/>
      <c r="F28" s="30"/>
      <c r="G28" s="30"/>
      <c r="H28" s="30"/>
      <c r="I28" s="30"/>
      <c r="J28" s="30"/>
    </row>
    <row r="29" spans="1:10" ht="23.25" customHeight="1">
      <c r="A29" s="73"/>
      <c r="B29" s="208" t="str">
        <f>Sprache!B371</f>
        <v>Geplanter Energiebedarf</v>
      </c>
      <c r="C29" s="74"/>
      <c r="D29" s="239" t="str">
        <f>Sprache!B376</f>
        <v>Zone:</v>
      </c>
      <c r="E29" s="82">
        <v>1</v>
      </c>
      <c r="F29" s="82">
        <v>2</v>
      </c>
      <c r="G29" s="82">
        <v>3</v>
      </c>
      <c r="H29" s="82">
        <v>4</v>
      </c>
      <c r="I29" s="83"/>
      <c r="J29" s="84" t="str">
        <f>Sprache!B356</f>
        <v>Summe</v>
      </c>
    </row>
    <row r="30" spans="1:10" ht="17.25" customHeight="1">
      <c r="A30" s="73"/>
      <c r="B30" s="52" t="str">
        <f>Sprache!B372</f>
        <v>Heizwärmebedarf</v>
      </c>
      <c r="C30" s="60" t="s">
        <v>1010</v>
      </c>
      <c r="D30" s="58" t="s">
        <v>1011</v>
      </c>
      <c r="E30" s="65">
        <f>_Qh1*(1+Elektro1)</f>
        <v>0</v>
      </c>
      <c r="F30" s="65">
        <f>_Qh2*(1+Elektro2)</f>
        <v>0</v>
      </c>
      <c r="G30" s="65">
        <f>_Qh3*(1+Elektro3)</f>
        <v>0</v>
      </c>
      <c r="H30" s="65">
        <f>_Qh4*(1+Elektro4)</f>
        <v>0</v>
      </c>
      <c r="I30" s="60"/>
      <c r="J30" s="61">
        <f>IF(EBF=0,0,(E30*_EBF1+F30*_EBF2+G30*_EBF3+H30*_EBF4)/EBF)</f>
        <v>0</v>
      </c>
    </row>
    <row r="31" spans="1:10" ht="17.25" customHeight="1">
      <c r="A31" s="73"/>
      <c r="B31" s="52" t="str">
        <f>Sprache!B373</f>
        <v>Warmwasserbedarf</v>
      </c>
      <c r="C31" s="60" t="s">
        <v>1007</v>
      </c>
      <c r="D31" s="58" t="s">
        <v>1011</v>
      </c>
      <c r="E31" s="65">
        <f>IF(E11&gt;0,E19*(1+Elektro_WW1),)</f>
        <v>0</v>
      </c>
      <c r="F31" s="65">
        <f>IF(F11&gt;0,F19*(1+Elektro_WW2),)</f>
        <v>0</v>
      </c>
      <c r="G31" s="65">
        <f>IF(G11&gt;0,G19*(1+Elektro_WW3),)</f>
        <v>0</v>
      </c>
      <c r="H31" s="65">
        <f>IF(H11&gt;0,H19*(1+Elektro_WW4),)</f>
        <v>0</v>
      </c>
      <c r="I31" s="60"/>
      <c r="J31" s="61">
        <f>IF(EBF=0,0,(E31*_EBF1+F31*_EBF2+G31*_EBF3+H31*_EBF4)/EBF)</f>
        <v>0</v>
      </c>
    </row>
    <row r="32" spans="1:10" ht="17.25" customHeight="1">
      <c r="A32" s="73"/>
      <c r="B32" s="66" t="str">
        <f>Sprache!B374</f>
        <v>Strom Lüftung doppelt gewichtet</v>
      </c>
      <c r="C32" s="69" t="s">
        <v>1013</v>
      </c>
      <c r="D32" s="67" t="s">
        <v>1011</v>
      </c>
      <c r="E32" s="68">
        <f>2*Lueftungsanlagen!E11</f>
        <v>0</v>
      </c>
      <c r="F32" s="68">
        <f>2*Lueftungsanlagen!F11</f>
        <v>0</v>
      </c>
      <c r="G32" s="68">
        <f>2*Lueftungsanlagen!G11</f>
        <v>0</v>
      </c>
      <c r="H32" s="68">
        <f>2*Lueftungsanlagen!H11</f>
        <v>0</v>
      </c>
      <c r="I32" s="85"/>
      <c r="J32" s="70">
        <f>IF(EBF=0,0,(E32*_EBF1+F32*_EBF2+G32*_EBF3+H32*_EBF4)/EBF)</f>
        <v>0</v>
      </c>
    </row>
    <row r="33" spans="1:10" ht="17.25" customHeight="1">
      <c r="A33" s="73"/>
      <c r="B33" s="77" t="str">
        <f>Sprache!B375</f>
        <v>Gewichteter Energiebedarf</v>
      </c>
      <c r="C33" s="78"/>
      <c r="D33" s="80" t="s">
        <v>1011</v>
      </c>
      <c r="E33" s="86">
        <f>SUM(E30:E32)</f>
        <v>0</v>
      </c>
      <c r="F33" s="86">
        <f>SUM(F30:F32)</f>
        <v>0</v>
      </c>
      <c r="G33" s="86">
        <f>SUM(G30:G32)</f>
        <v>0</v>
      </c>
      <c r="H33" s="86">
        <f>SUM(H30:H32)</f>
        <v>0</v>
      </c>
      <c r="I33" s="87"/>
      <c r="J33" s="81">
        <f>SUM(J30:J32)</f>
        <v>0</v>
      </c>
    </row>
    <row r="34" spans="1:10" ht="12" customHeight="1">
      <c r="A34" s="73"/>
      <c r="B34" s="30"/>
      <c r="C34" s="30"/>
      <c r="D34" s="30"/>
      <c r="E34" s="30"/>
      <c r="F34" s="30"/>
      <c r="G34" s="30"/>
      <c r="H34" s="30"/>
      <c r="I34" s="30"/>
      <c r="J34" s="30"/>
    </row>
    <row r="35" spans="1:10" ht="17.25" customHeight="1">
      <c r="A35" s="73"/>
      <c r="B35" s="207" t="str">
        <f>Sprache!B377</f>
        <v>Erneuerbare Energie/Abwärme</v>
      </c>
      <c r="C35" s="34"/>
      <c r="D35" s="88" t="str">
        <f>Sprache!B378</f>
        <v>Ertrag:</v>
      </c>
      <c r="E35" s="89" t="str">
        <f>Sprache!B379</f>
        <v>Wärme</v>
      </c>
      <c r="F35" s="89" t="str">
        <f>Sprache!B380</f>
        <v>Strom</v>
      </c>
      <c r="G35" s="90" t="str">
        <f>Sprache!B381</f>
        <v>Netto</v>
      </c>
      <c r="H35" s="34"/>
      <c r="I35" s="34"/>
      <c r="J35" s="35"/>
    </row>
    <row r="36" spans="1:10" ht="17.25" customHeight="1">
      <c r="A36" s="73"/>
      <c r="B36" s="52" t="str">
        <f>Sprache!B382</f>
        <v>Solaranlage</v>
      </c>
      <c r="C36" s="53"/>
      <c r="D36" s="58" t="s">
        <v>22</v>
      </c>
      <c r="E36" s="91">
        <f>Erneuerbar!C20+Erneuerbar!D20</f>
        <v>0</v>
      </c>
      <c r="F36" s="65"/>
      <c r="G36" s="92">
        <f>E36</f>
        <v>0</v>
      </c>
      <c r="H36" s="450" t="str">
        <f>Sprache!B388</f>
        <v>(Negative Zahlen bedeuten Aufwand)</v>
      </c>
      <c r="I36" s="40"/>
      <c r="J36" s="94"/>
    </row>
    <row r="37" spans="1:10" ht="17.25" customHeight="1">
      <c r="A37" s="73"/>
      <c r="B37" s="52" t="str">
        <f>Sprache!B383</f>
        <v>Wärmepumpe</v>
      </c>
      <c r="C37" s="53"/>
      <c r="D37" s="58" t="s">
        <v>22</v>
      </c>
      <c r="E37" s="91">
        <f>Erneuerbar!C36+Erneuerbar!D36</f>
        <v>0</v>
      </c>
      <c r="F37" s="91">
        <f>-(Erneuerbar!C38+Erneuerbar!D38)</f>
        <v>0</v>
      </c>
      <c r="G37" s="92">
        <f>E37+2*F37</f>
        <v>0</v>
      </c>
      <c r="H37" s="450"/>
      <c r="I37" s="40"/>
      <c r="J37" s="94"/>
    </row>
    <row r="38" spans="1:10" ht="17.25" customHeight="1">
      <c r="A38" s="73"/>
      <c r="B38" s="52" t="str">
        <f>Sprache!B384</f>
        <v>Holzheizung</v>
      </c>
      <c r="C38" s="53"/>
      <c r="D38" s="58" t="s">
        <v>22</v>
      </c>
      <c r="E38" s="91">
        <f>Erneuerbar!C46+Erneuerbar!D46</f>
        <v>0</v>
      </c>
      <c r="F38" s="65"/>
      <c r="G38" s="92">
        <f>E38</f>
        <v>0</v>
      </c>
      <c r="H38" s="450"/>
      <c r="I38" s="40"/>
      <c r="J38" s="94"/>
    </row>
    <row r="39" spans="1:10" ht="17.25" customHeight="1">
      <c r="A39" s="73"/>
      <c r="B39" s="52" t="str">
        <f>Sprache!B386</f>
        <v>Abwärmenutzung</v>
      </c>
      <c r="C39" s="53"/>
      <c r="D39" s="58" t="s">
        <v>22</v>
      </c>
      <c r="E39" s="91">
        <f>Erneuerbar!C54+Erneuerbar!D54</f>
        <v>0</v>
      </c>
      <c r="F39" s="91">
        <f>-Erneuerbar!C52-Erneuerbar!D52</f>
        <v>0</v>
      </c>
      <c r="G39" s="92">
        <f>E39+2*F39</f>
        <v>0</v>
      </c>
      <c r="H39" s="450"/>
      <c r="I39" s="40"/>
      <c r="J39" s="94"/>
    </row>
    <row r="40" spans="1:10" ht="17.25" customHeight="1">
      <c r="A40" s="73"/>
      <c r="B40" s="52" t="str">
        <f>Sprache!B385</f>
        <v>andere erneuerbare Energien</v>
      </c>
      <c r="C40" s="53"/>
      <c r="D40" s="58" t="s">
        <v>22</v>
      </c>
      <c r="E40" s="91">
        <f>Erneuerbar!C63+Erneuerbar!D63</f>
        <v>0</v>
      </c>
      <c r="F40" s="91">
        <f>Erneuerbar!C64+Erneuerbar!D64</f>
        <v>0</v>
      </c>
      <c r="G40" s="92">
        <f>E40+2*F40</f>
        <v>0</v>
      </c>
      <c r="H40" s="93"/>
      <c r="I40" s="40"/>
      <c r="J40" s="94"/>
    </row>
    <row r="41" spans="1:10" ht="17.25" customHeight="1">
      <c r="A41" s="73"/>
      <c r="B41" s="77" t="str">
        <f>Sprache!B387</f>
        <v>Summe erneuerbare Energie</v>
      </c>
      <c r="C41" s="78"/>
      <c r="D41" s="80" t="s">
        <v>22</v>
      </c>
      <c r="E41" s="86"/>
      <c r="F41" s="86"/>
      <c r="G41" s="95">
        <f>SUM(G36:G40)</f>
        <v>0</v>
      </c>
      <c r="H41" s="96" t="s">
        <v>1011</v>
      </c>
      <c r="I41" s="78"/>
      <c r="J41" s="81">
        <f>IF(J11,G41*3.6/J11,0)</f>
        <v>0</v>
      </c>
    </row>
    <row r="42" spans="1:10" ht="17.25" customHeight="1">
      <c r="A42" s="73"/>
      <c r="B42" s="30"/>
      <c r="C42" s="30"/>
      <c r="D42" s="30"/>
      <c r="E42" s="30"/>
      <c r="F42" s="30"/>
      <c r="G42" s="30"/>
      <c r="H42" s="30"/>
      <c r="I42" s="30"/>
      <c r="J42" s="30"/>
    </row>
    <row r="43" spans="1:10" ht="17.25" customHeight="1">
      <c r="A43" s="73"/>
      <c r="B43" s="209" t="str">
        <f>Sprache!B389</f>
        <v>Durch nichterneuerbare Energie gedeckt</v>
      </c>
      <c r="C43" s="78"/>
      <c r="D43" s="97"/>
      <c r="E43" s="78"/>
      <c r="F43" s="78"/>
      <c r="G43" s="78"/>
      <c r="H43" s="97" t="s">
        <v>1014</v>
      </c>
      <c r="I43" s="78"/>
      <c r="J43" s="98">
        <f>J33-J41</f>
        <v>0</v>
      </c>
    </row>
    <row r="44" spans="1:10" ht="12">
      <c r="A44" s="73"/>
      <c r="B44" s="30"/>
      <c r="C44" s="30"/>
      <c r="D44" s="30"/>
      <c r="E44" s="30"/>
      <c r="F44" s="30"/>
      <c r="G44" s="30"/>
      <c r="H44" s="30"/>
      <c r="I44" s="30"/>
      <c r="J44" s="30"/>
    </row>
    <row r="45" spans="1:10" ht="17.25" customHeight="1">
      <c r="A45" s="73"/>
      <c r="B45" s="207" t="str">
        <f>Sprache!B390</f>
        <v>Vergleich</v>
      </c>
      <c r="C45" s="34"/>
      <c r="D45" s="99"/>
      <c r="E45" s="100" t="str">
        <f>Sprache!B391</f>
        <v>Anforderung</v>
      </c>
      <c r="F45" s="101"/>
      <c r="G45" s="102" t="str">
        <f>Sprache!B392</f>
        <v>Deckung</v>
      </c>
      <c r="H45" s="34"/>
      <c r="I45" s="34"/>
      <c r="J45" s="288">
        <f>IF((J13)&gt;J24,Sprache!B397,"")</f>
      </c>
    </row>
    <row r="46" spans="1:10" ht="17.25" customHeight="1">
      <c r="A46" s="73"/>
      <c r="B46" s="103" t="str">
        <f>Sprache!B393</f>
        <v>Durch nichterneuerbare Energie gedeckt</v>
      </c>
      <c r="C46" s="104"/>
      <c r="D46" s="105" t="s">
        <v>1011</v>
      </c>
      <c r="E46" s="106">
        <f>J27</f>
        <v>0</v>
      </c>
      <c r="F46" s="105" t="s">
        <v>32</v>
      </c>
      <c r="G46" s="107">
        <f>J43</f>
        <v>0</v>
      </c>
      <c r="H46" s="104"/>
      <c r="I46" s="104"/>
      <c r="J46" s="204" t="str">
        <f>IF((J13)&lt;J24,IF(G46&gt;E46,Sprache!B394,Sprache!B395),Sprache!B396)</f>
        <v>Wärmedämmung!</v>
      </c>
    </row>
    <row r="47" spans="2:34" ht="12">
      <c r="B47" s="30">
        <f>IF((J13)&gt;J24,Sprache!B398,"")</f>
      </c>
      <c r="C47" s="30"/>
      <c r="D47" s="30"/>
      <c r="E47" s="30"/>
      <c r="F47" s="30"/>
      <c r="G47" s="30"/>
      <c r="H47" s="30"/>
      <c r="I47" s="30"/>
      <c r="J47" s="30"/>
      <c r="AG47" s="33"/>
      <c r="AH47" s="33"/>
    </row>
    <row r="48" spans="2:34" ht="13.5" hidden="1">
      <c r="B48" s="52" t="s">
        <v>3</v>
      </c>
      <c r="C48" s="58" t="s">
        <v>1008</v>
      </c>
      <c r="D48" s="58" t="s">
        <v>1009</v>
      </c>
      <c r="E48" s="59">
        <f>_EBF1</f>
        <v>0</v>
      </c>
      <c r="F48" s="59">
        <f>_EBF2</f>
        <v>0</v>
      </c>
      <c r="G48" s="59">
        <f>_EBF3</f>
        <v>0</v>
      </c>
      <c r="H48" s="59">
        <f>_EBF4</f>
        <v>0</v>
      </c>
      <c r="I48" s="60"/>
      <c r="J48" s="61">
        <f>SUM(E48:H48)</f>
        <v>0</v>
      </c>
      <c r="AG48" s="33"/>
      <c r="AH48" s="33"/>
    </row>
    <row r="49" spans="2:34" ht="12">
      <c r="B49" s="30"/>
      <c r="C49" s="30"/>
      <c r="D49" s="30"/>
      <c r="E49" s="30"/>
      <c r="F49" s="30"/>
      <c r="G49" s="30"/>
      <c r="H49" s="30"/>
      <c r="I49" s="30"/>
      <c r="J49" s="30"/>
      <c r="AG49" s="33"/>
      <c r="AH49" s="33"/>
    </row>
    <row r="50" spans="6:34" ht="15.75" customHeight="1">
      <c r="F50" s="30"/>
      <c r="G50" s="30"/>
      <c r="H50" s="30"/>
      <c r="I50" s="30"/>
      <c r="J50" s="30"/>
      <c r="T50" s="36" t="s">
        <v>429</v>
      </c>
      <c r="U50" s="37" t="s">
        <v>1005</v>
      </c>
      <c r="V50" s="38" t="s">
        <v>1006</v>
      </c>
      <c r="W50" s="37" t="s">
        <v>1007</v>
      </c>
      <c r="Y50" s="233" t="s">
        <v>1124</v>
      </c>
      <c r="Z50" s="37" t="s">
        <v>1068</v>
      </c>
      <c r="AA50" s="37" t="s">
        <v>1069</v>
      </c>
      <c r="AB50" s="37" t="s">
        <v>1070</v>
      </c>
      <c r="AC50" s="37" t="s">
        <v>1071</v>
      </c>
      <c r="AD50" s="440" t="s">
        <v>1125</v>
      </c>
      <c r="AE50" s="440"/>
      <c r="AF50" s="37" t="s">
        <v>1072</v>
      </c>
      <c r="AG50" s="33"/>
      <c r="AH50" s="33"/>
    </row>
    <row r="51" spans="6:34" ht="15.75" customHeight="1">
      <c r="F51" s="30"/>
      <c r="G51" s="30"/>
      <c r="H51" s="30"/>
      <c r="I51" s="30"/>
      <c r="J51" s="30"/>
      <c r="S51" s="33">
        <v>1</v>
      </c>
      <c r="T51" s="41"/>
      <c r="U51" s="42"/>
      <c r="V51" s="43"/>
      <c r="W51" s="42"/>
      <c r="Y51" s="234"/>
      <c r="Z51" s="50"/>
      <c r="AA51" s="50" t="s">
        <v>1073</v>
      </c>
      <c r="AB51" s="50"/>
      <c r="AC51" s="71" t="s">
        <v>1076</v>
      </c>
      <c r="AD51" s="50" t="s">
        <v>1074</v>
      </c>
      <c r="AE51" s="50" t="s">
        <v>1075</v>
      </c>
      <c r="AF51" s="226" t="s">
        <v>193</v>
      </c>
      <c r="AG51" s="33"/>
      <c r="AH51" s="33"/>
    </row>
    <row r="52" spans="6:34" ht="15.75" customHeight="1">
      <c r="F52" s="30"/>
      <c r="G52" s="30"/>
      <c r="H52" s="30"/>
      <c r="I52" s="30"/>
      <c r="J52" s="30"/>
      <c r="S52" s="33">
        <v>2</v>
      </c>
      <c r="T52" s="49" t="str">
        <f>Sprache!B95</f>
        <v>MFH</v>
      </c>
      <c r="U52" s="50">
        <v>55</v>
      </c>
      <c r="V52" s="51">
        <v>65</v>
      </c>
      <c r="W52" s="50">
        <v>75</v>
      </c>
      <c r="X52" s="33">
        <v>1</v>
      </c>
      <c r="Y52" s="235"/>
      <c r="Z52" s="71"/>
      <c r="AA52" s="71"/>
      <c r="AB52" s="71"/>
      <c r="AC52" s="71"/>
      <c r="AD52" s="71"/>
      <c r="AE52" s="71"/>
      <c r="AF52" s="71"/>
      <c r="AG52" s="33"/>
      <c r="AH52" s="33"/>
    </row>
    <row r="53" spans="6:34" ht="15.75" customHeight="1">
      <c r="F53" s="30"/>
      <c r="G53" s="30"/>
      <c r="H53" s="30"/>
      <c r="I53" s="30"/>
      <c r="J53" s="30"/>
      <c r="S53" s="33">
        <v>3</v>
      </c>
      <c r="T53" s="49" t="str">
        <f>Sprache!B96</f>
        <v>EFH</v>
      </c>
      <c r="U53" s="50">
        <v>65</v>
      </c>
      <c r="V53" s="51">
        <v>65</v>
      </c>
      <c r="W53" s="50">
        <v>50</v>
      </c>
      <c r="X53" s="33">
        <v>2</v>
      </c>
      <c r="Y53" s="236" t="s">
        <v>664</v>
      </c>
      <c r="Z53" s="227" t="s">
        <v>1082</v>
      </c>
      <c r="AA53" s="227">
        <v>8</v>
      </c>
      <c r="AB53" s="227" t="s">
        <v>1088</v>
      </c>
      <c r="AC53" s="227">
        <v>1320</v>
      </c>
      <c r="AD53" s="227">
        <v>-10</v>
      </c>
      <c r="AE53" s="228">
        <v>6.1</v>
      </c>
      <c r="AF53" s="227">
        <v>4186</v>
      </c>
      <c r="AG53" s="33"/>
      <c r="AH53" s="33"/>
    </row>
    <row r="54" spans="6:34" ht="15.75" customHeight="1">
      <c r="F54" s="30"/>
      <c r="G54" s="30"/>
      <c r="H54" s="30"/>
      <c r="I54" s="30"/>
      <c r="J54" s="30"/>
      <c r="S54" s="33">
        <v>4</v>
      </c>
      <c r="T54" s="49" t="str">
        <f>Sprache!B97</f>
        <v>Verwaltung</v>
      </c>
      <c r="U54" s="50">
        <v>65</v>
      </c>
      <c r="V54" s="51">
        <v>85</v>
      </c>
      <c r="W54" s="50">
        <v>25</v>
      </c>
      <c r="X54" s="33">
        <v>3</v>
      </c>
      <c r="Y54" s="236" t="s">
        <v>665</v>
      </c>
      <c r="Z54" s="227" t="s">
        <v>1100</v>
      </c>
      <c r="AA54" s="227">
        <v>8</v>
      </c>
      <c r="AB54" s="227" t="s">
        <v>1081</v>
      </c>
      <c r="AC54" s="227">
        <v>381</v>
      </c>
      <c r="AD54" s="227">
        <v>-6</v>
      </c>
      <c r="AE54" s="228">
        <v>10.1</v>
      </c>
      <c r="AF54" s="227">
        <v>2821</v>
      </c>
      <c r="AG54" s="33"/>
      <c r="AH54" s="33"/>
    </row>
    <row r="55" spans="6:34" ht="15.75" customHeight="1">
      <c r="F55" s="30"/>
      <c r="G55" s="30"/>
      <c r="H55" s="30"/>
      <c r="I55" s="30"/>
      <c r="J55" s="30"/>
      <c r="S55" s="33">
        <v>5</v>
      </c>
      <c r="T55" s="49" t="str">
        <f>Sprache!B98</f>
        <v>Schule</v>
      </c>
      <c r="U55" s="50">
        <v>70</v>
      </c>
      <c r="V55" s="51">
        <v>70</v>
      </c>
      <c r="W55" s="50">
        <v>25</v>
      </c>
      <c r="X55" s="33">
        <v>4</v>
      </c>
      <c r="Y55" s="236" t="s">
        <v>1104</v>
      </c>
      <c r="Z55" s="227" t="s">
        <v>1105</v>
      </c>
      <c r="AA55" s="227">
        <v>7</v>
      </c>
      <c r="AB55" s="227" t="s">
        <v>1081</v>
      </c>
      <c r="AC55" s="227">
        <v>449</v>
      </c>
      <c r="AD55" s="227">
        <v>-6</v>
      </c>
      <c r="AE55" s="228">
        <v>9.9</v>
      </c>
      <c r="AF55" s="227">
        <v>2836</v>
      </c>
      <c r="AG55" s="33"/>
      <c r="AH55" s="33"/>
    </row>
    <row r="56" spans="6:34" ht="15.75" customHeight="1">
      <c r="F56" s="30"/>
      <c r="G56" s="30"/>
      <c r="H56" s="30"/>
      <c r="I56" s="30"/>
      <c r="J56" s="30"/>
      <c r="S56" s="33">
        <v>6</v>
      </c>
      <c r="T56" s="49" t="str">
        <f>Sprache!B99</f>
        <v>Verkauf</v>
      </c>
      <c r="U56" s="50">
        <v>50</v>
      </c>
      <c r="V56" s="51">
        <v>65</v>
      </c>
      <c r="W56" s="50">
        <v>25</v>
      </c>
      <c r="X56" s="33">
        <v>5</v>
      </c>
      <c r="Y56" s="236" t="s">
        <v>1077</v>
      </c>
      <c r="Z56" s="227" t="s">
        <v>1078</v>
      </c>
      <c r="AA56" s="227">
        <v>1</v>
      </c>
      <c r="AB56" s="227" t="s">
        <v>1079</v>
      </c>
      <c r="AC56" s="227">
        <v>316</v>
      </c>
      <c r="AD56" s="227">
        <v>-7</v>
      </c>
      <c r="AE56" s="228">
        <v>10.5</v>
      </c>
      <c r="AF56" s="227">
        <v>2733</v>
      </c>
      <c r="AG56" s="33"/>
      <c r="AH56" s="33"/>
    </row>
    <row r="57" spans="19:34" ht="15.75" customHeight="1">
      <c r="S57" s="33">
        <v>7</v>
      </c>
      <c r="T57" s="49" t="str">
        <f>Sprache!B100</f>
        <v>Restaurant</v>
      </c>
      <c r="U57" s="50">
        <v>95</v>
      </c>
      <c r="V57" s="51">
        <v>75</v>
      </c>
      <c r="W57" s="50">
        <v>200</v>
      </c>
      <c r="X57" s="33">
        <v>6</v>
      </c>
      <c r="Y57" s="236" t="s">
        <v>666</v>
      </c>
      <c r="Z57" s="227" t="s">
        <v>1082</v>
      </c>
      <c r="AA57" s="227">
        <v>4</v>
      </c>
      <c r="AB57" s="227" t="s">
        <v>1122</v>
      </c>
      <c r="AC57" s="227">
        <v>565</v>
      </c>
      <c r="AD57" s="227">
        <v>-7</v>
      </c>
      <c r="AE57" s="228">
        <v>9.1</v>
      </c>
      <c r="AF57" s="227">
        <v>3353</v>
      </c>
      <c r="AG57" s="33"/>
      <c r="AH57" s="33"/>
    </row>
    <row r="58" spans="19:34" ht="15.75" customHeight="1">
      <c r="S58" s="33">
        <v>8</v>
      </c>
      <c r="T58" s="49" t="str">
        <f>Sprache!B101</f>
        <v>Vers.</v>
      </c>
      <c r="U58" s="50">
        <v>95</v>
      </c>
      <c r="V58" s="51">
        <v>75</v>
      </c>
      <c r="W58" s="50">
        <v>50</v>
      </c>
      <c r="X58" s="33">
        <v>7</v>
      </c>
      <c r="Y58" s="236" t="s">
        <v>667</v>
      </c>
      <c r="Z58" s="227" t="s">
        <v>1084</v>
      </c>
      <c r="AA58" s="227">
        <v>4</v>
      </c>
      <c r="AB58" s="227" t="s">
        <v>1081</v>
      </c>
      <c r="AC58" s="227">
        <v>387</v>
      </c>
      <c r="AD58" s="227">
        <v>-7</v>
      </c>
      <c r="AE58" s="228">
        <v>9.7</v>
      </c>
      <c r="AF58" s="227">
        <v>2917</v>
      </c>
      <c r="AG58" s="33"/>
      <c r="AH58" s="33"/>
    </row>
    <row r="59" spans="19:34" ht="15.75" customHeight="1">
      <c r="S59" s="33">
        <v>9</v>
      </c>
      <c r="T59" s="49" t="str">
        <f>Sprache!B102</f>
        <v>Spitäler</v>
      </c>
      <c r="U59" s="50">
        <v>80</v>
      </c>
      <c r="V59" s="51">
        <v>80</v>
      </c>
      <c r="W59" s="50">
        <v>100</v>
      </c>
      <c r="X59" s="33">
        <v>8</v>
      </c>
      <c r="Y59" s="236" t="s">
        <v>1110</v>
      </c>
      <c r="Z59" s="227" t="s">
        <v>1109</v>
      </c>
      <c r="AA59" s="227">
        <v>9</v>
      </c>
      <c r="AB59" s="227" t="s">
        <v>1081</v>
      </c>
      <c r="AC59" s="227">
        <v>555</v>
      </c>
      <c r="AD59" s="227">
        <v>-7</v>
      </c>
      <c r="AE59" s="228">
        <v>9.6</v>
      </c>
      <c r="AF59" s="227">
        <v>2917</v>
      </c>
      <c r="AG59" s="33"/>
      <c r="AH59" s="33"/>
    </row>
    <row r="60" spans="19:34" ht="15.75" customHeight="1">
      <c r="S60" s="33">
        <v>10</v>
      </c>
      <c r="T60" s="49" t="str">
        <f>Sprache!B103</f>
        <v>Industrie</v>
      </c>
      <c r="U60" s="50">
        <v>60</v>
      </c>
      <c r="V60" s="51">
        <v>70</v>
      </c>
      <c r="W60" s="50">
        <v>25</v>
      </c>
      <c r="X60" s="33">
        <v>9</v>
      </c>
      <c r="Y60" s="236" t="s">
        <v>1111</v>
      </c>
      <c r="Z60" s="227" t="s">
        <v>1109</v>
      </c>
      <c r="AA60" s="227">
        <v>9</v>
      </c>
      <c r="AB60" s="227" t="s">
        <v>683</v>
      </c>
      <c r="AC60" s="227">
        <v>1590</v>
      </c>
      <c r="AD60" s="227">
        <v>-13</v>
      </c>
      <c r="AE60" s="228">
        <v>3.6</v>
      </c>
      <c r="AF60" s="227">
        <v>5205</v>
      </c>
      <c r="AG60" s="33"/>
      <c r="AH60" s="33"/>
    </row>
    <row r="61" spans="19:34" ht="15.75" customHeight="1">
      <c r="S61" s="33">
        <v>11</v>
      </c>
      <c r="T61" s="49" t="str">
        <f>Sprache!B104</f>
        <v>Lager</v>
      </c>
      <c r="U61" s="50">
        <v>60</v>
      </c>
      <c r="V61" s="51">
        <v>70</v>
      </c>
      <c r="W61" s="50">
        <v>5</v>
      </c>
      <c r="X61" s="33">
        <v>10</v>
      </c>
      <c r="Y61" s="236" t="s">
        <v>1112</v>
      </c>
      <c r="Z61" s="227" t="s">
        <v>1109</v>
      </c>
      <c r="AA61" s="227">
        <v>9</v>
      </c>
      <c r="AB61" s="227" t="s">
        <v>1083</v>
      </c>
      <c r="AC61" s="227">
        <v>1190</v>
      </c>
      <c r="AD61" s="227">
        <v>-10</v>
      </c>
      <c r="AE61" s="228">
        <v>6.7</v>
      </c>
      <c r="AF61" s="227">
        <v>3774</v>
      </c>
      <c r="AG61" s="33"/>
      <c r="AH61" s="33"/>
    </row>
    <row r="62" spans="19:34" ht="15.75" customHeight="1">
      <c r="S62" s="33">
        <v>12</v>
      </c>
      <c r="T62" s="49" t="str">
        <f>Sprache!B105</f>
        <v>Sportbau</v>
      </c>
      <c r="U62" s="50">
        <v>75</v>
      </c>
      <c r="V62" s="51">
        <v>70</v>
      </c>
      <c r="W62" s="50">
        <v>300</v>
      </c>
      <c r="X62" s="33">
        <v>11</v>
      </c>
      <c r="Y62" s="236" t="s">
        <v>1106</v>
      </c>
      <c r="Z62" s="227" t="s">
        <v>1107</v>
      </c>
      <c r="AA62" s="227">
        <v>7</v>
      </c>
      <c r="AB62" s="227" t="s">
        <v>1083</v>
      </c>
      <c r="AC62" s="227">
        <v>1035</v>
      </c>
      <c r="AD62" s="227">
        <v>-11</v>
      </c>
      <c r="AE62" s="228">
        <v>6.4</v>
      </c>
      <c r="AF62" s="227">
        <v>3852</v>
      </c>
      <c r="AG62" s="33"/>
      <c r="AH62" s="33"/>
    </row>
    <row r="63" spans="19:34" ht="15.75" customHeight="1">
      <c r="S63" s="33">
        <v>13</v>
      </c>
      <c r="T63" s="42" t="str">
        <f>Sprache!B106</f>
        <v>Hallenbad</v>
      </c>
      <c r="U63" s="71">
        <v>70</v>
      </c>
      <c r="V63" s="72">
        <v>90</v>
      </c>
      <c r="W63" s="71">
        <v>300</v>
      </c>
      <c r="X63" s="33">
        <v>12</v>
      </c>
      <c r="Y63" s="236" t="s">
        <v>1097</v>
      </c>
      <c r="Z63" s="227" t="s">
        <v>1098</v>
      </c>
      <c r="AA63" s="227">
        <v>5</v>
      </c>
      <c r="AB63" s="227" t="s">
        <v>1081</v>
      </c>
      <c r="AC63" s="227">
        <v>420</v>
      </c>
      <c r="AD63" s="227">
        <v>-4</v>
      </c>
      <c r="AE63" s="228">
        <v>10.7</v>
      </c>
      <c r="AF63" s="227">
        <v>2739</v>
      </c>
      <c r="AG63" s="33"/>
      <c r="AH63" s="33"/>
    </row>
    <row r="64" spans="24:34" ht="15.75" customHeight="1">
      <c r="X64" s="33">
        <v>13</v>
      </c>
      <c r="Y64" s="236" t="s">
        <v>1102</v>
      </c>
      <c r="Z64" s="227" t="s">
        <v>1103</v>
      </c>
      <c r="AA64" s="227">
        <v>6</v>
      </c>
      <c r="AB64" s="227" t="s">
        <v>1091</v>
      </c>
      <c r="AC64" s="227">
        <v>515</v>
      </c>
      <c r="AD64" s="227">
        <v>-8</v>
      </c>
      <c r="AE64" s="228">
        <v>8.8</v>
      </c>
      <c r="AF64" s="227">
        <v>3410</v>
      </c>
      <c r="AG64" s="33"/>
      <c r="AH64" s="33"/>
    </row>
    <row r="65" spans="24:34" ht="15.75" customHeight="1">
      <c r="X65" s="33">
        <v>14</v>
      </c>
      <c r="Y65" s="236" t="s">
        <v>1114</v>
      </c>
      <c r="Z65" s="227" t="s">
        <v>1113</v>
      </c>
      <c r="AA65" s="227">
        <v>12</v>
      </c>
      <c r="AB65" s="227" t="s">
        <v>684</v>
      </c>
      <c r="AC65" s="227">
        <v>2472</v>
      </c>
      <c r="AD65" s="227">
        <v>-15</v>
      </c>
      <c r="AE65" s="228">
        <v>-0.5</v>
      </c>
      <c r="AF65" s="227">
        <v>7473</v>
      </c>
      <c r="AG65" s="33"/>
      <c r="AH65" s="33"/>
    </row>
    <row r="66" spans="24:34" ht="15.75" customHeight="1">
      <c r="X66" s="33">
        <v>15</v>
      </c>
      <c r="Y66" s="236" t="s">
        <v>668</v>
      </c>
      <c r="Z66" s="227" t="s">
        <v>1085</v>
      </c>
      <c r="AA66" s="227">
        <v>3</v>
      </c>
      <c r="AB66" s="227" t="s">
        <v>1081</v>
      </c>
      <c r="AC66" s="227">
        <v>440</v>
      </c>
      <c r="AD66" s="227">
        <v>-7</v>
      </c>
      <c r="AE66" s="228">
        <v>9.2</v>
      </c>
      <c r="AF66" s="227">
        <v>3316</v>
      </c>
      <c r="AG66" s="33"/>
      <c r="AH66" s="33"/>
    </row>
    <row r="67" spans="24:34" ht="15.75" customHeight="1">
      <c r="X67" s="33">
        <v>16</v>
      </c>
      <c r="Y67" s="236" t="s">
        <v>1108</v>
      </c>
      <c r="Z67" s="227" t="s">
        <v>1082</v>
      </c>
      <c r="AA67" s="227">
        <v>8</v>
      </c>
      <c r="AB67" s="227" t="s">
        <v>1081</v>
      </c>
      <c r="AC67" s="227">
        <v>580</v>
      </c>
      <c r="AD67" s="227">
        <v>-7</v>
      </c>
      <c r="AE67" s="228">
        <v>8.7</v>
      </c>
      <c r="AF67" s="227">
        <v>3428</v>
      </c>
      <c r="AG67" s="33"/>
      <c r="AH67" s="33"/>
    </row>
    <row r="68" spans="24:34" ht="15.75" customHeight="1">
      <c r="X68" s="33">
        <v>17</v>
      </c>
      <c r="Y68" s="236" t="s">
        <v>669</v>
      </c>
      <c r="Z68" s="227" t="s">
        <v>1080</v>
      </c>
      <c r="AA68" s="227">
        <v>2</v>
      </c>
      <c r="AB68" s="227" t="s">
        <v>1081</v>
      </c>
      <c r="AC68" s="227">
        <v>1019</v>
      </c>
      <c r="AD68" s="227">
        <v>-10</v>
      </c>
      <c r="AE68" s="228">
        <v>6.5</v>
      </c>
      <c r="AF68" s="227">
        <v>3786</v>
      </c>
      <c r="AG68" s="33"/>
      <c r="AH68" s="33"/>
    </row>
    <row r="69" spans="24:34" ht="15.75" customHeight="1">
      <c r="X69" s="33">
        <v>18</v>
      </c>
      <c r="Y69" s="236" t="s">
        <v>670</v>
      </c>
      <c r="Z69" s="227" t="s">
        <v>1100</v>
      </c>
      <c r="AA69" s="227">
        <v>2</v>
      </c>
      <c r="AB69" s="227" t="s">
        <v>685</v>
      </c>
      <c r="AC69" s="227">
        <v>1202</v>
      </c>
      <c r="AD69" s="227">
        <v>-10</v>
      </c>
      <c r="AE69" s="228">
        <v>6</v>
      </c>
      <c r="AF69" s="227">
        <v>4210</v>
      </c>
      <c r="AG69" s="33"/>
      <c r="AH69" s="33"/>
    </row>
    <row r="70" spans="24:34" ht="15.75" customHeight="1">
      <c r="X70" s="33">
        <v>19</v>
      </c>
      <c r="Y70" s="236" t="s">
        <v>1120</v>
      </c>
      <c r="Z70" s="227" t="s">
        <v>1119</v>
      </c>
      <c r="AA70" s="227">
        <v>12</v>
      </c>
      <c r="AB70" s="227" t="s">
        <v>166</v>
      </c>
      <c r="AC70" s="227">
        <v>366</v>
      </c>
      <c r="AD70" s="227">
        <v>-1</v>
      </c>
      <c r="AE70" s="228">
        <v>12.3</v>
      </c>
      <c r="AF70" s="227">
        <v>2147</v>
      </c>
      <c r="AG70" s="33"/>
      <c r="AH70" s="33"/>
    </row>
    <row r="71" spans="24:34" ht="15.75" customHeight="1">
      <c r="X71" s="33">
        <v>20</v>
      </c>
      <c r="Y71" s="236" t="s">
        <v>1121</v>
      </c>
      <c r="Z71" s="227" t="s">
        <v>1119</v>
      </c>
      <c r="AA71" s="227">
        <v>12</v>
      </c>
      <c r="AB71" s="227" t="s">
        <v>1094</v>
      </c>
      <c r="AC71" s="227">
        <v>273</v>
      </c>
      <c r="AD71" s="227">
        <v>-1</v>
      </c>
      <c r="AE71" s="228">
        <v>12.4</v>
      </c>
      <c r="AF71" s="227">
        <v>2144</v>
      </c>
      <c r="AG71" s="33"/>
      <c r="AH71" s="33"/>
    </row>
    <row r="72" spans="24:34" ht="15.75" customHeight="1">
      <c r="X72" s="33">
        <v>21</v>
      </c>
      <c r="Y72" s="236" t="s">
        <v>1095</v>
      </c>
      <c r="Z72" s="227" t="s">
        <v>1096</v>
      </c>
      <c r="AA72" s="227">
        <v>7</v>
      </c>
      <c r="AB72" s="227" t="s">
        <v>1122</v>
      </c>
      <c r="AC72" s="227">
        <v>456</v>
      </c>
      <c r="AD72" s="227">
        <v>-6</v>
      </c>
      <c r="AE72" s="228">
        <v>9.7</v>
      </c>
      <c r="AF72" s="227">
        <v>2917</v>
      </c>
      <c r="AG72" s="33"/>
      <c r="AH72" s="33"/>
    </row>
    <row r="73" spans="24:34" ht="15.75" customHeight="1">
      <c r="X73" s="33">
        <v>22</v>
      </c>
      <c r="Y73" s="236" t="s">
        <v>671</v>
      </c>
      <c r="Z73" s="227" t="s">
        <v>1119</v>
      </c>
      <c r="AA73" s="227">
        <v>12</v>
      </c>
      <c r="AB73" s="227" t="s">
        <v>1081</v>
      </c>
      <c r="AC73" s="227">
        <v>197</v>
      </c>
      <c r="AD73" s="227">
        <v>-3</v>
      </c>
      <c r="AE73" s="228">
        <v>11.7</v>
      </c>
      <c r="AF73" s="227">
        <v>2377</v>
      </c>
      <c r="AG73" s="33"/>
      <c r="AH73" s="33"/>
    </row>
    <row r="74" spans="24:34" ht="15.75" customHeight="1">
      <c r="X74" s="33">
        <v>23</v>
      </c>
      <c r="Y74" s="236" t="s">
        <v>1115</v>
      </c>
      <c r="Z74" s="227" t="s">
        <v>1113</v>
      </c>
      <c r="AA74" s="227">
        <v>10</v>
      </c>
      <c r="AB74" s="227" t="s">
        <v>1083</v>
      </c>
      <c r="AC74" s="227">
        <v>1508</v>
      </c>
      <c r="AD74" s="227">
        <v>-10</v>
      </c>
      <c r="AE74" s="228">
        <v>5.9</v>
      </c>
      <c r="AF74" s="227">
        <v>4274</v>
      </c>
      <c r="AG74" s="33"/>
      <c r="AH74" s="33"/>
    </row>
    <row r="75" spans="24:34" ht="15.75" customHeight="1">
      <c r="X75" s="33">
        <v>24</v>
      </c>
      <c r="Y75" s="236" t="s">
        <v>1101</v>
      </c>
      <c r="Z75" s="227" t="s">
        <v>1080</v>
      </c>
      <c r="AA75" s="227">
        <v>5</v>
      </c>
      <c r="AB75" s="227" t="s">
        <v>1099</v>
      </c>
      <c r="AC75" s="227">
        <v>485</v>
      </c>
      <c r="AD75" s="227">
        <v>-5</v>
      </c>
      <c r="AE75" s="228">
        <v>10.3</v>
      </c>
      <c r="AF75" s="227">
        <v>2799</v>
      </c>
      <c r="AG75" s="33"/>
      <c r="AH75" s="33"/>
    </row>
    <row r="76" spans="24:34" ht="15.75" customHeight="1">
      <c r="X76" s="33">
        <v>25</v>
      </c>
      <c r="Y76" s="236" t="s">
        <v>672</v>
      </c>
      <c r="Z76" s="227" t="s">
        <v>1100</v>
      </c>
      <c r="AA76" s="227">
        <v>5</v>
      </c>
      <c r="AB76" s="227" t="s">
        <v>1081</v>
      </c>
      <c r="AC76" s="227">
        <v>490</v>
      </c>
      <c r="AD76" s="227">
        <v>-7</v>
      </c>
      <c r="AE76" s="228">
        <v>9.4</v>
      </c>
      <c r="AF76" s="227">
        <v>2968</v>
      </c>
      <c r="AG76" s="33"/>
      <c r="AH76" s="33"/>
    </row>
    <row r="77" spans="24:34" ht="15.75" customHeight="1">
      <c r="X77" s="33">
        <v>26</v>
      </c>
      <c r="Y77" s="236" t="s">
        <v>673</v>
      </c>
      <c r="Z77" s="227" t="s">
        <v>1119</v>
      </c>
      <c r="AA77" s="227">
        <v>12</v>
      </c>
      <c r="AB77" s="227" t="s">
        <v>1081</v>
      </c>
      <c r="AC77" s="227">
        <v>1007</v>
      </c>
      <c r="AD77" s="227">
        <v>-7</v>
      </c>
      <c r="AE77" s="228">
        <v>7.8</v>
      </c>
      <c r="AF77" s="227">
        <v>3619</v>
      </c>
      <c r="AG77" s="33"/>
      <c r="AH77" s="33"/>
    </row>
    <row r="78" spans="24:34" ht="15.75" customHeight="1">
      <c r="X78" s="33">
        <v>27</v>
      </c>
      <c r="Y78" s="236" t="s">
        <v>674</v>
      </c>
      <c r="Z78" s="227" t="s">
        <v>1100</v>
      </c>
      <c r="AA78" s="227">
        <v>5</v>
      </c>
      <c r="AB78" s="227" t="s">
        <v>166</v>
      </c>
      <c r="AC78" s="227">
        <v>461</v>
      </c>
      <c r="AD78" s="227">
        <v>-4</v>
      </c>
      <c r="AE78" s="228">
        <v>10.9</v>
      </c>
      <c r="AF78" s="227">
        <v>2664</v>
      </c>
      <c r="AG78" s="33"/>
      <c r="AH78" s="33"/>
    </row>
    <row r="79" spans="24:34" ht="15.75" customHeight="1">
      <c r="X79" s="33">
        <v>28</v>
      </c>
      <c r="Y79" s="236" t="s">
        <v>1123</v>
      </c>
      <c r="Z79" s="227" t="s">
        <v>1109</v>
      </c>
      <c r="AA79" s="227">
        <v>12</v>
      </c>
      <c r="AB79" s="227" t="s">
        <v>1091</v>
      </c>
      <c r="AC79" s="227">
        <v>1078</v>
      </c>
      <c r="AD79" s="227">
        <v>-8</v>
      </c>
      <c r="AE79" s="228">
        <v>7</v>
      </c>
      <c r="AF79" s="227">
        <v>3740</v>
      </c>
      <c r="AG79" s="33"/>
      <c r="AH79" s="33"/>
    </row>
    <row r="80" spans="24:34" ht="15.75" customHeight="1">
      <c r="X80" s="33">
        <v>29</v>
      </c>
      <c r="Y80" s="236" t="s">
        <v>675</v>
      </c>
      <c r="Z80" s="227" t="s">
        <v>1078</v>
      </c>
      <c r="AA80" s="227">
        <v>1</v>
      </c>
      <c r="AB80" s="227" t="s">
        <v>1081</v>
      </c>
      <c r="AC80" s="227">
        <v>610</v>
      </c>
      <c r="AD80" s="227">
        <v>-8</v>
      </c>
      <c r="AE80" s="228">
        <v>9.1</v>
      </c>
      <c r="AF80" s="227">
        <v>2990</v>
      </c>
      <c r="AG80" s="33"/>
      <c r="AH80" s="33"/>
    </row>
    <row r="81" spans="24:34" ht="15.75" customHeight="1">
      <c r="X81" s="33">
        <v>30</v>
      </c>
      <c r="Y81" s="236" t="s">
        <v>676</v>
      </c>
      <c r="Z81" s="227" t="s">
        <v>1109</v>
      </c>
      <c r="AA81" s="227">
        <v>11</v>
      </c>
      <c r="AB81" s="227" t="s">
        <v>1081</v>
      </c>
      <c r="AC81" s="227">
        <v>1705</v>
      </c>
      <c r="AD81" s="227">
        <v>-18</v>
      </c>
      <c r="AE81" s="228">
        <v>1.8</v>
      </c>
      <c r="AF81" s="227">
        <v>6121</v>
      </c>
      <c r="AG81" s="33"/>
      <c r="AH81" s="33"/>
    </row>
    <row r="82" spans="24:34" ht="15.75" customHeight="1">
      <c r="X82" s="33">
        <v>31</v>
      </c>
      <c r="Y82" s="236" t="s">
        <v>677</v>
      </c>
      <c r="Z82" s="227" t="s">
        <v>1109</v>
      </c>
      <c r="AA82" s="227">
        <v>12</v>
      </c>
      <c r="AB82" s="227" t="s">
        <v>167</v>
      </c>
      <c r="AC82" s="227">
        <v>1639</v>
      </c>
      <c r="AD82" s="227">
        <v>-11</v>
      </c>
      <c r="AE82" s="228">
        <v>3.9</v>
      </c>
      <c r="AF82" s="227">
        <v>5132</v>
      </c>
      <c r="AG82" s="33"/>
      <c r="AH82" s="33"/>
    </row>
    <row r="83" spans="24:34" ht="15.75" customHeight="1">
      <c r="X83" s="33">
        <v>32</v>
      </c>
      <c r="Y83" s="236" t="s">
        <v>1089</v>
      </c>
      <c r="Z83" s="227" t="s">
        <v>1090</v>
      </c>
      <c r="AA83" s="227">
        <v>3</v>
      </c>
      <c r="AB83" s="227" t="s">
        <v>168</v>
      </c>
      <c r="AC83" s="227">
        <v>779</v>
      </c>
      <c r="AD83" s="227">
        <v>-9</v>
      </c>
      <c r="AE83" s="228">
        <v>8.2</v>
      </c>
      <c r="AF83" s="227">
        <v>3483</v>
      </c>
      <c r="AG83" s="33"/>
      <c r="AH83" s="33"/>
    </row>
    <row r="84" spans="24:34" ht="15.75" customHeight="1">
      <c r="X84" s="33">
        <v>33</v>
      </c>
      <c r="Y84" s="236" t="s">
        <v>1086</v>
      </c>
      <c r="Z84" s="227" t="s">
        <v>1087</v>
      </c>
      <c r="AA84" s="227">
        <v>3</v>
      </c>
      <c r="AB84" s="227" t="s">
        <v>169</v>
      </c>
      <c r="AC84" s="227">
        <v>437</v>
      </c>
      <c r="AD84" s="227">
        <v>-8</v>
      </c>
      <c r="AE84" s="228">
        <v>9.4</v>
      </c>
      <c r="AF84" s="227">
        <v>3310</v>
      </c>
      <c r="AG84" s="33"/>
      <c r="AH84" s="33"/>
    </row>
    <row r="85" spans="24:34" ht="15.75" customHeight="1">
      <c r="X85" s="33">
        <v>34</v>
      </c>
      <c r="Y85" s="236" t="s">
        <v>1118</v>
      </c>
      <c r="Z85" s="227" t="s">
        <v>1109</v>
      </c>
      <c r="AA85" s="227">
        <v>11</v>
      </c>
      <c r="AB85" s="227" t="s">
        <v>1083</v>
      </c>
      <c r="AC85" s="227">
        <v>1298</v>
      </c>
      <c r="AD85" s="227">
        <v>-12</v>
      </c>
      <c r="AE85" s="228">
        <v>5.5</v>
      </c>
      <c r="AF85" s="227">
        <v>4158</v>
      </c>
      <c r="AG85" s="33"/>
      <c r="AH85" s="33"/>
    </row>
    <row r="86" spans="24:34" ht="15.75" customHeight="1">
      <c r="X86" s="33">
        <v>35</v>
      </c>
      <c r="Y86" s="236" t="s">
        <v>1116</v>
      </c>
      <c r="Z86" s="227" t="s">
        <v>1113</v>
      </c>
      <c r="AA86" s="227">
        <v>10</v>
      </c>
      <c r="AB86" s="227" t="s">
        <v>1081</v>
      </c>
      <c r="AC86" s="227">
        <v>482</v>
      </c>
      <c r="AD86" s="227">
        <v>-6</v>
      </c>
      <c r="AE86" s="228">
        <v>10.1</v>
      </c>
      <c r="AF86" s="227">
        <v>2606</v>
      </c>
      <c r="AG86" s="33"/>
      <c r="AH86" s="33"/>
    </row>
    <row r="87" spans="24:34" ht="15.75" customHeight="1">
      <c r="X87" s="33">
        <v>36</v>
      </c>
      <c r="Y87" s="236" t="s">
        <v>678</v>
      </c>
      <c r="Z87" s="227" t="s">
        <v>1113</v>
      </c>
      <c r="AA87" s="227">
        <v>10</v>
      </c>
      <c r="AB87" s="227" t="s">
        <v>1081</v>
      </c>
      <c r="AC87" s="227">
        <v>1345</v>
      </c>
      <c r="AD87" s="227">
        <v>-16</v>
      </c>
      <c r="AE87" s="228">
        <v>3.7</v>
      </c>
      <c r="AF87" s="227">
        <v>5302</v>
      </c>
      <c r="AG87" s="33"/>
      <c r="AH87" s="33"/>
    </row>
    <row r="88" spans="24:34" ht="15.75" customHeight="1">
      <c r="X88" s="33">
        <v>37</v>
      </c>
      <c r="Y88" s="236" t="s">
        <v>679</v>
      </c>
      <c r="Z88" s="227" t="s">
        <v>682</v>
      </c>
      <c r="AA88" s="227">
        <v>6</v>
      </c>
      <c r="AB88" s="227" t="s">
        <v>1081</v>
      </c>
      <c r="AC88" s="227">
        <v>460</v>
      </c>
      <c r="AD88" s="227">
        <v>-8</v>
      </c>
      <c r="AE88" s="228">
        <v>10</v>
      </c>
      <c r="AF88" s="227">
        <v>2851</v>
      </c>
      <c r="AG88" s="33"/>
      <c r="AH88" s="33"/>
    </row>
    <row r="89" spans="24:34" ht="15.75" customHeight="1">
      <c r="X89" s="33">
        <v>38</v>
      </c>
      <c r="Y89" s="236" t="s">
        <v>680</v>
      </c>
      <c r="Z89" s="227" t="s">
        <v>1082</v>
      </c>
      <c r="AA89" s="227">
        <v>4</v>
      </c>
      <c r="AB89" s="227" t="s">
        <v>1081</v>
      </c>
      <c r="AC89" s="227">
        <v>422</v>
      </c>
      <c r="AD89" s="227">
        <v>-7</v>
      </c>
      <c r="AE89" s="228">
        <v>9</v>
      </c>
      <c r="AF89" s="227">
        <v>3371</v>
      </c>
      <c r="AG89" s="33"/>
      <c r="AH89" s="33"/>
    </row>
    <row r="90" spans="24:34" ht="15.75" customHeight="1">
      <c r="X90" s="33">
        <v>39</v>
      </c>
      <c r="Y90" s="236" t="s">
        <v>1117</v>
      </c>
      <c r="Z90" s="227" t="s">
        <v>1113</v>
      </c>
      <c r="AA90" s="227">
        <v>10</v>
      </c>
      <c r="AB90" s="227" t="s">
        <v>45</v>
      </c>
      <c r="AC90" s="227">
        <v>1638</v>
      </c>
      <c r="AD90" s="227">
        <v>-11</v>
      </c>
      <c r="AE90" s="228">
        <v>4.3</v>
      </c>
      <c r="AF90" s="227">
        <v>5017</v>
      </c>
      <c r="AG90" s="33"/>
      <c r="AH90" s="33"/>
    </row>
    <row r="91" spans="24:34" ht="15.75" customHeight="1">
      <c r="X91" s="33">
        <v>40</v>
      </c>
      <c r="Y91" s="236" t="s">
        <v>681</v>
      </c>
      <c r="Z91" s="227" t="s">
        <v>1093</v>
      </c>
      <c r="AA91" s="227">
        <v>3</v>
      </c>
      <c r="AB91" s="227" t="s">
        <v>166</v>
      </c>
      <c r="AC91" s="227">
        <v>425</v>
      </c>
      <c r="AD91" s="227">
        <v>-8</v>
      </c>
      <c r="AE91" s="228">
        <v>9.4</v>
      </c>
      <c r="AF91" s="227">
        <v>3304</v>
      </c>
      <c r="AG91" s="33"/>
      <c r="AH91" s="33"/>
    </row>
    <row r="92" spans="24:34" ht="15.75" customHeight="1">
      <c r="X92" s="33">
        <v>41</v>
      </c>
      <c r="Y92" s="236" t="s">
        <v>1092</v>
      </c>
      <c r="Z92" s="227" t="s">
        <v>1093</v>
      </c>
      <c r="AA92" s="227">
        <v>3</v>
      </c>
      <c r="AB92" s="227" t="s">
        <v>1081</v>
      </c>
      <c r="AC92" s="227">
        <v>556</v>
      </c>
      <c r="AD92" s="227">
        <v>-8</v>
      </c>
      <c r="AE92" s="228">
        <v>9.4</v>
      </c>
      <c r="AF92" s="227">
        <v>2959</v>
      </c>
      <c r="AG92" s="33"/>
      <c r="AH92" s="33"/>
    </row>
    <row r="93" spans="24:34" ht="15.75" customHeight="1">
      <c r="X93" s="33">
        <v>42</v>
      </c>
      <c r="Y93" s="236"/>
      <c r="Z93" s="227"/>
      <c r="AA93" s="227"/>
      <c r="AB93" s="227"/>
      <c r="AC93" s="227"/>
      <c r="AD93" s="227"/>
      <c r="AE93" s="228"/>
      <c r="AF93" s="227"/>
      <c r="AG93" s="33"/>
      <c r="AH93" s="33"/>
    </row>
    <row r="94" spans="24:34" ht="15.75" customHeight="1">
      <c r="X94" s="33">
        <v>43</v>
      </c>
      <c r="Y94" s="236"/>
      <c r="Z94" s="227"/>
      <c r="AA94" s="227"/>
      <c r="AB94" s="227"/>
      <c r="AC94" s="227"/>
      <c r="AD94" s="227"/>
      <c r="AE94" s="228"/>
      <c r="AF94" s="227"/>
      <c r="AG94" s="33"/>
      <c r="AH94" s="33"/>
    </row>
    <row r="95" spans="24:34" ht="15.75" customHeight="1">
      <c r="X95" s="33">
        <v>44</v>
      </c>
      <c r="Y95" s="236"/>
      <c r="Z95" s="227"/>
      <c r="AA95" s="227"/>
      <c r="AB95" s="227"/>
      <c r="AC95" s="227"/>
      <c r="AD95" s="227"/>
      <c r="AE95" s="228"/>
      <c r="AF95" s="227"/>
      <c r="AG95" s="33"/>
      <c r="AH95" s="33"/>
    </row>
    <row r="96" spans="24:34" ht="15.75" customHeight="1">
      <c r="X96" s="33">
        <v>45</v>
      </c>
      <c r="Y96" s="236"/>
      <c r="Z96" s="227"/>
      <c r="AA96" s="227"/>
      <c r="AB96" s="227"/>
      <c r="AC96" s="227"/>
      <c r="AD96" s="227"/>
      <c r="AE96" s="228"/>
      <c r="AF96" s="227"/>
      <c r="AG96" s="33"/>
      <c r="AH96" s="33"/>
    </row>
    <row r="97" spans="24:34" ht="15.75" customHeight="1">
      <c r="X97" s="33">
        <v>46</v>
      </c>
      <c r="Y97" s="236"/>
      <c r="Z97" s="227"/>
      <c r="AA97" s="227"/>
      <c r="AB97" s="227"/>
      <c r="AC97" s="227"/>
      <c r="AD97" s="227"/>
      <c r="AE97" s="228"/>
      <c r="AF97" s="227"/>
      <c r="AG97" s="33"/>
      <c r="AH97" s="33"/>
    </row>
    <row r="98" spans="24:34" ht="15.75" customHeight="1">
      <c r="X98" s="33">
        <v>47</v>
      </c>
      <c r="Y98" s="236"/>
      <c r="Z98" s="227"/>
      <c r="AA98" s="227"/>
      <c r="AB98" s="227"/>
      <c r="AC98" s="227"/>
      <c r="AD98" s="227"/>
      <c r="AE98" s="228"/>
      <c r="AF98" s="227"/>
      <c r="AG98" s="33"/>
      <c r="AH98" s="33"/>
    </row>
    <row r="99" spans="24:34" ht="15.75" customHeight="1">
      <c r="X99" s="33">
        <v>48</v>
      </c>
      <c r="Y99" s="236"/>
      <c r="Z99" s="227"/>
      <c r="AA99" s="227"/>
      <c r="AB99" s="227"/>
      <c r="AC99" s="227"/>
      <c r="AD99" s="227"/>
      <c r="AE99" s="228"/>
      <c r="AF99" s="227"/>
      <c r="AG99" s="33"/>
      <c r="AH99" s="33"/>
    </row>
    <row r="100" spans="24:34" ht="15.75" customHeight="1">
      <c r="X100" s="33">
        <v>49</v>
      </c>
      <c r="Y100" s="236"/>
      <c r="Z100" s="227"/>
      <c r="AA100" s="227"/>
      <c r="AB100" s="227"/>
      <c r="AC100" s="227"/>
      <c r="AD100" s="227"/>
      <c r="AE100" s="228"/>
      <c r="AF100" s="227"/>
      <c r="AG100" s="33"/>
      <c r="AH100" s="33"/>
    </row>
    <row r="101" spans="24:34" ht="15.75" customHeight="1">
      <c r="X101" s="33">
        <v>50</v>
      </c>
      <c r="Y101" s="236"/>
      <c r="Z101" s="227"/>
      <c r="AA101" s="227"/>
      <c r="AB101" s="227"/>
      <c r="AC101" s="227"/>
      <c r="AD101" s="227"/>
      <c r="AE101" s="228"/>
      <c r="AF101" s="227"/>
      <c r="AG101" s="33"/>
      <c r="AH101" s="33"/>
    </row>
    <row r="102" spans="24:34" ht="15.75" customHeight="1">
      <c r="X102" s="33">
        <v>51</v>
      </c>
      <c r="Y102" s="236"/>
      <c r="Z102" s="227"/>
      <c r="AA102" s="227"/>
      <c r="AB102" s="227"/>
      <c r="AC102" s="227"/>
      <c r="AD102" s="227"/>
      <c r="AE102" s="228"/>
      <c r="AF102" s="227"/>
      <c r="AG102" s="33"/>
      <c r="AH102" s="33"/>
    </row>
    <row r="103" spans="24:34" ht="15.75" customHeight="1">
      <c r="X103" s="33">
        <v>52</v>
      </c>
      <c r="Y103" s="236"/>
      <c r="Z103" s="227"/>
      <c r="AA103" s="227"/>
      <c r="AB103" s="227"/>
      <c r="AC103" s="227"/>
      <c r="AD103" s="227"/>
      <c r="AE103" s="228"/>
      <c r="AF103" s="227"/>
      <c r="AG103" s="33"/>
      <c r="AH103" s="33"/>
    </row>
    <row r="104" spans="24:34" ht="15.75" customHeight="1">
      <c r="X104" s="33">
        <v>53</v>
      </c>
      <c r="Y104" s="236"/>
      <c r="Z104" s="227"/>
      <c r="AA104" s="227"/>
      <c r="AB104" s="227"/>
      <c r="AC104" s="227"/>
      <c r="AD104" s="227"/>
      <c r="AE104" s="228"/>
      <c r="AF104" s="227"/>
      <c r="AG104" s="33"/>
      <c r="AH104" s="33"/>
    </row>
    <row r="105" spans="24:34" ht="15.75" customHeight="1">
      <c r="X105" s="33">
        <v>54</v>
      </c>
      <c r="Y105" s="236"/>
      <c r="Z105" s="227"/>
      <c r="AA105" s="227"/>
      <c r="AB105" s="227"/>
      <c r="AC105" s="227"/>
      <c r="AD105" s="227"/>
      <c r="AE105" s="228"/>
      <c r="AF105" s="227"/>
      <c r="AG105" s="33"/>
      <c r="AH105" s="33"/>
    </row>
    <row r="106" spans="24:34" ht="15.75" customHeight="1">
      <c r="X106" s="33">
        <v>55</v>
      </c>
      <c r="Y106" s="236"/>
      <c r="Z106" s="227"/>
      <c r="AA106" s="227"/>
      <c r="AB106" s="227"/>
      <c r="AC106" s="227"/>
      <c r="AD106" s="227"/>
      <c r="AE106" s="228"/>
      <c r="AF106" s="227"/>
      <c r="AG106" s="33"/>
      <c r="AH106" s="33"/>
    </row>
    <row r="107" spans="24:34" ht="15.75" customHeight="1">
      <c r="X107" s="33">
        <v>56</v>
      </c>
      <c r="Y107" s="236"/>
      <c r="Z107" s="227"/>
      <c r="AA107" s="227"/>
      <c r="AB107" s="227"/>
      <c r="AC107" s="227"/>
      <c r="AD107" s="227"/>
      <c r="AE107" s="228"/>
      <c r="AF107" s="227"/>
      <c r="AG107" s="33"/>
      <c r="AH107" s="33"/>
    </row>
    <row r="108" spans="24:34" ht="15.75" customHeight="1">
      <c r="X108" s="33">
        <v>57</v>
      </c>
      <c r="Y108" s="236"/>
      <c r="Z108" s="227"/>
      <c r="AA108" s="227"/>
      <c r="AB108" s="227"/>
      <c r="AC108" s="227"/>
      <c r="AD108" s="227"/>
      <c r="AE108" s="228"/>
      <c r="AF108" s="227"/>
      <c r="AG108" s="33"/>
      <c r="AH108" s="33"/>
    </row>
    <row r="109" spans="24:34" ht="15.75" customHeight="1">
      <c r="X109" s="33">
        <v>58</v>
      </c>
      <c r="Y109" s="237"/>
      <c r="Z109" s="229"/>
      <c r="AA109" s="229"/>
      <c r="AB109" s="229"/>
      <c r="AC109" s="229"/>
      <c r="AD109" s="229"/>
      <c r="AE109" s="230"/>
      <c r="AF109" s="229"/>
      <c r="AG109" s="33"/>
      <c r="AH109" s="33"/>
    </row>
    <row r="110" spans="24:34" ht="15.75" customHeight="1">
      <c r="X110" s="250" t="s">
        <v>63</v>
      </c>
      <c r="Y110" s="248">
        <f>INDEX(Y52:Y109,$Y$2,1)</f>
        <v>0</v>
      </c>
      <c r="Z110" s="249">
        <f aca="true" t="shared" si="0" ref="Z110:AF110">INDEX(Z52:Z109,$Y$2,1)</f>
        <v>0</v>
      </c>
      <c r="AA110" s="249">
        <f t="shared" si="0"/>
        <v>0</v>
      </c>
      <c r="AB110" s="249">
        <f t="shared" si="0"/>
        <v>0</v>
      </c>
      <c r="AC110" s="249">
        <f t="shared" si="0"/>
        <v>0</v>
      </c>
      <c r="AD110" s="249">
        <f t="shared" si="0"/>
        <v>0</v>
      </c>
      <c r="AE110" s="249">
        <f t="shared" si="0"/>
        <v>0</v>
      </c>
      <c r="AF110" s="249">
        <f t="shared" si="0"/>
        <v>0</v>
      </c>
      <c r="AG110" s="33"/>
      <c r="AH110" s="33"/>
    </row>
    <row r="111" spans="33:34" ht="15.75" customHeight="1">
      <c r="AG111" s="33"/>
      <c r="AH111" s="33"/>
    </row>
    <row r="112" ht="15.75" customHeight="1"/>
    <row r="113" spans="26:36" ht="15.75" customHeight="1">
      <c r="Z113" s="232"/>
      <c r="AA113" s="232"/>
      <c r="AB113" s="232"/>
      <c r="AC113" s="232"/>
      <c r="AD113" s="232"/>
      <c r="AE113" s="232"/>
      <c r="AF113" s="232"/>
      <c r="AG113" s="232"/>
      <c r="AH113" s="232"/>
      <c r="AI113" s="232"/>
      <c r="AJ113" s="232"/>
    </row>
    <row r="114" ht="15.75" customHeight="1"/>
    <row r="115" ht="15.75" customHeight="1"/>
    <row r="116" ht="15.75" customHeight="1"/>
    <row r="117" ht="15.75" customHeight="1"/>
    <row r="118" ht="15.75" customHeight="1"/>
    <row r="119" ht="15.75" customHeight="1"/>
    <row r="120" ht="15.75" customHeight="1"/>
  </sheetData>
  <sheetProtection password="D2AA" sheet="1" objects="1" scenarios="1"/>
  <mergeCells count="5">
    <mergeCell ref="AD50:AE50"/>
    <mergeCell ref="B3:J3"/>
    <mergeCell ref="B4:J4"/>
    <mergeCell ref="B5:J5"/>
    <mergeCell ref="H36:H39"/>
  </mergeCells>
  <printOptions/>
  <pageMargins left="0.43" right="0.24" top="0.7874015748031497" bottom="0.4724409448818898" header="0.1968503937007874" footer="0.31496062992125984"/>
  <pageSetup fitToHeight="1" fitToWidth="1" horizontalDpi="300" verticalDpi="300" orientation="portrait" paperSize="9" r:id="rId3"/>
  <headerFooter alignWithMargins="0">
    <oddFooter>&amp;R&amp;8&amp;D &amp;T / &amp;F, &amp;A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3"/>
  <sheetViews>
    <sheetView showZeros="0" zoomScalePageLayoutView="0" workbookViewId="0" topLeftCell="A1">
      <selection activeCell="A1" sqref="A1"/>
    </sheetView>
  </sheetViews>
  <sheetFormatPr defaultColWidth="11.57421875" defaultRowHeight="12.75"/>
  <cols>
    <col min="1" max="1" width="3.7109375" style="150" customWidth="1"/>
    <col min="2" max="2" width="30.7109375" style="153" customWidth="1"/>
    <col min="3" max="3" width="7.00390625" style="153" customWidth="1"/>
    <col min="4" max="4" width="7.8515625" style="153" customWidth="1"/>
    <col min="5" max="8" width="8.7109375" style="153" customWidth="1"/>
    <col min="9" max="9" width="1.28515625" style="153" customWidth="1"/>
    <col min="10" max="10" width="8.7109375" style="153" customWidth="1"/>
    <col min="11" max="11" width="11.57421875" style="153" customWidth="1"/>
    <col min="12" max="26" width="11.57421875" style="153" hidden="1" customWidth="1"/>
    <col min="27" max="16384" width="11.57421875" style="153" customWidth="1"/>
  </cols>
  <sheetData>
    <row r="1" spans="1:10" ht="12">
      <c r="A1" s="108"/>
      <c r="B1" s="109"/>
      <c r="C1" s="109"/>
      <c r="D1" s="109"/>
      <c r="E1" s="109"/>
      <c r="F1" s="109"/>
      <c r="G1" s="109"/>
      <c r="H1" s="110" t="str">
        <f>Rechengang!H1</f>
        <v>Beilage / Seite:</v>
      </c>
      <c r="I1" s="109"/>
      <c r="J1" s="32"/>
    </row>
    <row r="2" spans="1:10" ht="15">
      <c r="A2" s="108"/>
      <c r="B2" s="174" t="str">
        <f>Sprache!B487</f>
        <v>Projekt:</v>
      </c>
      <c r="C2" s="109"/>
      <c r="D2" s="109"/>
      <c r="E2" s="109"/>
      <c r="F2" s="109"/>
      <c r="G2" s="109"/>
      <c r="H2" s="109"/>
      <c r="I2" s="109"/>
      <c r="J2" s="245" t="str">
        <f>Rechengang!J2</f>
        <v>RechNach.xls / Version 7.0</v>
      </c>
    </row>
    <row r="3" spans="1:10" ht="15" customHeight="1">
      <c r="A3" s="108"/>
      <c r="B3" s="111">
        <f>Projekt1</f>
        <v>0</v>
      </c>
      <c r="C3" s="112"/>
      <c r="D3" s="112"/>
      <c r="E3" s="112"/>
      <c r="F3" s="112"/>
      <c r="G3" s="112"/>
      <c r="H3" s="112"/>
      <c r="I3" s="112"/>
      <c r="J3" s="113"/>
    </row>
    <row r="4" spans="1:10" ht="15" customHeight="1">
      <c r="A4" s="108"/>
      <c r="B4" s="114">
        <f>Projekt2</f>
        <v>0</v>
      </c>
      <c r="C4" s="115"/>
      <c r="D4" s="115"/>
      <c r="E4" s="115"/>
      <c r="F4" s="115"/>
      <c r="G4" s="115"/>
      <c r="H4" s="115"/>
      <c r="I4" s="115"/>
      <c r="J4" s="116"/>
    </row>
    <row r="5" spans="1:10" ht="15" customHeight="1">
      <c r="A5" s="108"/>
      <c r="B5" s="117">
        <f>Projekt3</f>
        <v>0</v>
      </c>
      <c r="C5" s="118"/>
      <c r="D5" s="118"/>
      <c r="E5" s="118"/>
      <c r="F5" s="118"/>
      <c r="G5" s="118"/>
      <c r="H5" s="118"/>
      <c r="I5" s="118"/>
      <c r="J5" s="119"/>
    </row>
    <row r="6" spans="1:10" ht="12">
      <c r="A6" s="108"/>
      <c r="B6" s="109"/>
      <c r="C6" s="109"/>
      <c r="D6" s="109"/>
      <c r="E6" s="109"/>
      <c r="F6" s="109"/>
      <c r="G6" s="109"/>
      <c r="H6" s="109"/>
      <c r="I6" s="109"/>
      <c r="J6" s="109"/>
    </row>
    <row r="7" spans="1:10" ht="15.75" customHeight="1">
      <c r="A7" s="108"/>
      <c r="B7" s="205" t="str">
        <f>Sprache!B488</f>
        <v>Lüftungsanlagen mit Wärmerückgewinnung</v>
      </c>
      <c r="C7" s="120"/>
      <c r="D7" s="120"/>
      <c r="E7" s="120"/>
      <c r="F7" s="289"/>
      <c r="G7" s="290" t="s">
        <v>1034</v>
      </c>
      <c r="H7" s="293">
        <v>52</v>
      </c>
      <c r="I7" s="291"/>
      <c r="J7" s="292" t="s">
        <v>1032</v>
      </c>
    </row>
    <row r="8" spans="1:10" ht="15.75" customHeight="1">
      <c r="A8" s="108"/>
      <c r="B8" s="344" t="str">
        <f>Sprache!B489</f>
        <v>Thermische Zone</v>
      </c>
      <c r="C8" s="121"/>
      <c r="D8" s="121"/>
      <c r="E8" s="122">
        <v>1</v>
      </c>
      <c r="F8" s="122">
        <v>2</v>
      </c>
      <c r="G8" s="122">
        <v>3</v>
      </c>
      <c r="H8" s="122">
        <v>4</v>
      </c>
      <c r="I8" s="123"/>
      <c r="J8" s="124" t="str">
        <f>Sprache!B498</f>
        <v>Summe</v>
      </c>
    </row>
    <row r="9" spans="1:10" ht="15.75" customHeight="1">
      <c r="A9" s="108"/>
      <c r="B9" s="341" t="str">
        <f>Sprache!B490</f>
        <v>Energiebezugsfläche</v>
      </c>
      <c r="C9" s="125" t="s">
        <v>125</v>
      </c>
      <c r="D9" s="125" t="s">
        <v>1009</v>
      </c>
      <c r="E9" s="126">
        <f>_EBF1</f>
        <v>0</v>
      </c>
      <c r="F9" s="126">
        <f>_EBF2</f>
        <v>0</v>
      </c>
      <c r="G9" s="126">
        <f>_EBF3</f>
        <v>0</v>
      </c>
      <c r="H9" s="126">
        <f>_EBF4</f>
        <v>0</v>
      </c>
      <c r="I9" s="127"/>
      <c r="J9" s="128">
        <f>SUM(E9:H9)</f>
        <v>0</v>
      </c>
    </row>
    <row r="10" spans="1:10" ht="15.75" customHeight="1">
      <c r="A10" s="108"/>
      <c r="B10" s="341" t="str">
        <f>Sprache!B491</f>
        <v>mittlere lichte Raumhöhe</v>
      </c>
      <c r="C10" s="125"/>
      <c r="D10" s="125"/>
      <c r="E10" s="244">
        <f>Input!C12</f>
        <v>0</v>
      </c>
      <c r="F10" s="244">
        <f>Input!C31</f>
        <v>0</v>
      </c>
      <c r="G10" s="244">
        <f>Input!C50</f>
        <v>0</v>
      </c>
      <c r="H10" s="244">
        <f>Input!C69</f>
        <v>0</v>
      </c>
      <c r="I10" s="127"/>
      <c r="J10" s="128"/>
    </row>
    <row r="11" spans="1:10" ht="15.75" customHeight="1">
      <c r="A11" s="108"/>
      <c r="B11" s="341" t="str">
        <f>Sprache!B492</f>
        <v>Strombedarf Lüftungsanlage</v>
      </c>
      <c r="C11" s="125" t="s">
        <v>1015</v>
      </c>
      <c r="D11" s="125" t="s">
        <v>1016</v>
      </c>
      <c r="E11" s="129">
        <f>IF(E12&lt;0.5,E13,E12)</f>
        <v>0</v>
      </c>
      <c r="F11" s="129">
        <f>IF(F12&lt;0.5,F13,F12)</f>
        <v>0</v>
      </c>
      <c r="G11" s="129">
        <f>IF(G12&lt;0.5,G13,G12)</f>
        <v>0</v>
      </c>
      <c r="H11" s="129">
        <f>IF(H12&lt;0.5,H13,H12)</f>
        <v>0</v>
      </c>
      <c r="I11" s="127"/>
      <c r="J11" s="130">
        <f>IF(EBF&gt;0,(_Qe1*_EBF1+_Qe2*_EBF2+_Qe3*_EBF3+_Qe4*_EBF4)/EBF,)</f>
        <v>0</v>
      </c>
    </row>
    <row r="12" spans="1:10" ht="15.75" customHeight="1">
      <c r="A12" s="108"/>
      <c r="B12" s="341" t="str">
        <f>Sprache!B493</f>
        <v>- Eingabe (Berechnung beilegen)</v>
      </c>
      <c r="C12" s="125" t="s">
        <v>1015</v>
      </c>
      <c r="D12" s="125" t="s">
        <v>1016</v>
      </c>
      <c r="E12" s="131">
        <f>Input!C13</f>
        <v>0</v>
      </c>
      <c r="F12" s="131">
        <f>Input!C32</f>
        <v>0</v>
      </c>
      <c r="G12" s="131">
        <f>Input!C51</f>
        <v>0</v>
      </c>
      <c r="H12" s="131">
        <f>Input!C70</f>
        <v>0</v>
      </c>
      <c r="I12" s="127"/>
      <c r="J12" s="128"/>
    </row>
    <row r="13" spans="1:10" ht="15.75" customHeight="1">
      <c r="A13" s="108"/>
      <c r="B13" s="341" t="str">
        <f>Sprache!B494</f>
        <v>- gemäss untenstehender Tab.</v>
      </c>
      <c r="C13" s="125" t="s">
        <v>1015</v>
      </c>
      <c r="D13" s="125" t="s">
        <v>1016</v>
      </c>
      <c r="E13" s="129">
        <f>J26*3.6</f>
        <v>0</v>
      </c>
      <c r="F13" s="129">
        <f>J36*3.6</f>
        <v>0</v>
      </c>
      <c r="G13" s="129">
        <f>J46*3.6</f>
        <v>0</v>
      </c>
      <c r="H13" s="129">
        <f>J56*3.6</f>
        <v>0</v>
      </c>
      <c r="I13" s="127"/>
      <c r="J13" s="128"/>
    </row>
    <row r="14" spans="1:10" ht="15.75" customHeight="1">
      <c r="A14" s="108"/>
      <c r="B14" s="341" t="str">
        <f>Sprache!B495</f>
        <v>Wirkungsgrad WRG</v>
      </c>
      <c r="C14" s="154" t="s">
        <v>1017</v>
      </c>
      <c r="D14" s="125" t="s">
        <v>38</v>
      </c>
      <c r="E14" s="217">
        <f>Input!C14</f>
        <v>0</v>
      </c>
      <c r="F14" s="217">
        <f>Input!C33</f>
        <v>0</v>
      </c>
      <c r="G14" s="217">
        <f>Input!C52</f>
        <v>0</v>
      </c>
      <c r="H14" s="217">
        <f>Input!C71</f>
        <v>0</v>
      </c>
      <c r="I14" s="127"/>
      <c r="J14" s="128"/>
    </row>
    <row r="15" spans="1:20" ht="15.75" customHeight="1">
      <c r="A15" s="108"/>
      <c r="B15" s="345" t="str">
        <f>Sprache!B496</f>
        <v>Therm.wirksamer Aussenl.-V.str.</v>
      </c>
      <c r="C15" s="132" t="s">
        <v>698</v>
      </c>
      <c r="D15" s="132" t="s">
        <v>1018</v>
      </c>
      <c r="E15" s="133">
        <f>_Vth1</f>
        <v>0.7</v>
      </c>
      <c r="F15" s="133">
        <f>_Vth2</f>
        <v>0.7</v>
      </c>
      <c r="G15" s="133">
        <f>_Vth3</f>
        <v>0.7</v>
      </c>
      <c r="H15" s="133">
        <f>_Vth4</f>
        <v>0.7</v>
      </c>
      <c r="I15" s="134"/>
      <c r="J15" s="135"/>
      <c r="T15" s="153" t="s">
        <v>436</v>
      </c>
    </row>
    <row r="16" spans="1:10" ht="12.75" customHeight="1">
      <c r="A16" s="108"/>
      <c r="B16" s="343" t="str">
        <f>Sprache!B497</f>
        <v>(Der thermisch wirksame Aussenluft-Volumenstrom ist in der Heizwärmebedarfsberechnung (SIA 380/1) einzusetzen.)</v>
      </c>
      <c r="C16" s="109"/>
      <c r="D16" s="109"/>
      <c r="E16" s="109"/>
      <c r="F16" s="109"/>
      <c r="G16" s="109"/>
      <c r="H16" s="109"/>
      <c r="I16" s="109"/>
      <c r="J16" s="109"/>
    </row>
    <row r="17" spans="1:21" ht="12">
      <c r="A17" s="108"/>
      <c r="C17" s="109"/>
      <c r="D17" s="109"/>
      <c r="E17" s="109"/>
      <c r="F17" s="109"/>
      <c r="G17" s="109"/>
      <c r="H17" s="215"/>
      <c r="I17" s="215"/>
      <c r="J17" s="109"/>
      <c r="T17" s="155"/>
      <c r="U17" s="156"/>
    </row>
    <row r="18" spans="1:21" ht="15.75" customHeight="1">
      <c r="A18" s="108"/>
      <c r="B18" s="205" t="str">
        <f>Sprache!B499</f>
        <v>Details für Zone 1</v>
      </c>
      <c r="C18" s="120"/>
      <c r="D18" s="451" t="str">
        <f>Sprache!B514</f>
        <v>Gebäudekategorie: </v>
      </c>
      <c r="E18" s="451"/>
      <c r="F18" s="218">
        <f>Rechengang!U2</f>
      </c>
      <c r="G18" s="221" t="str">
        <f>Sprache!B519</f>
        <v>Betriebszeit:</v>
      </c>
      <c r="H18" s="295">
        <f>Input!C163</f>
        <v>0</v>
      </c>
      <c r="I18" s="219"/>
      <c r="J18" s="220" t="str">
        <f>Sprache!B520</f>
        <v>Wochen/a</v>
      </c>
      <c r="T18" s="157">
        <f>INDEX($U$17:$U$29,Rechengang!T2,)</f>
        <v>0.7</v>
      </c>
      <c r="U18" s="158">
        <v>0.7</v>
      </c>
    </row>
    <row r="19" spans="1:21" ht="15.75" customHeight="1">
      <c r="A19" s="108"/>
      <c r="B19" s="340" t="str">
        <f>Sprache!B503</f>
        <v>Lüftungsanlage (ZUL + ABL):</v>
      </c>
      <c r="C19" s="137"/>
      <c r="D19" s="137"/>
      <c r="E19" s="222" t="str">
        <f>Sprache!B515</f>
        <v>Aus</v>
      </c>
      <c r="F19" s="222" t="str">
        <f>Sprache!B516</f>
        <v>Stufe 1</v>
      </c>
      <c r="G19" s="222" t="str">
        <f>Sprache!B517</f>
        <v>Stufe 2</v>
      </c>
      <c r="H19" s="222" t="str">
        <f>Sprache!B518</f>
        <v>Stufe 3</v>
      </c>
      <c r="I19" s="138"/>
      <c r="J19" s="139" t="str">
        <f>Sprache!B498</f>
        <v>Summe</v>
      </c>
      <c r="T19" s="157">
        <f>INDEX($U$17:$U$29,Rechengang!T3,)</f>
        <v>0.7</v>
      </c>
      <c r="U19" s="158">
        <v>0.7</v>
      </c>
    </row>
    <row r="20" spans="1:21" ht="15.75" customHeight="1">
      <c r="A20" s="108"/>
      <c r="B20" s="341" t="str">
        <f>Sprache!B504</f>
        <v>Luftmenge</v>
      </c>
      <c r="C20" s="125"/>
      <c r="D20" s="125" t="s">
        <v>1019</v>
      </c>
      <c r="E20" s="140">
        <f>_Vo1*_EBF1</f>
        <v>0</v>
      </c>
      <c r="F20" s="131">
        <f>Input!C15</f>
        <v>0</v>
      </c>
      <c r="G20" s="131">
        <f>Input!C16</f>
        <v>0</v>
      </c>
      <c r="H20" s="131">
        <f>Input!C17</f>
        <v>0</v>
      </c>
      <c r="I20" s="141"/>
      <c r="J20" s="142"/>
      <c r="T20" s="157">
        <f>INDEX($U$17:$U$29,Rechengang!T4,)</f>
        <v>0.7</v>
      </c>
      <c r="U20" s="158">
        <v>0.7</v>
      </c>
    </row>
    <row r="21" spans="1:21" ht="15.75" customHeight="1">
      <c r="A21" s="108"/>
      <c r="B21" s="341" t="str">
        <f>Sprache!B505</f>
        <v>Elektr. Leistungsaufnahme ZUL+ABL</v>
      </c>
      <c r="C21" s="125"/>
      <c r="D21" s="125" t="s">
        <v>45</v>
      </c>
      <c r="E21" s="140"/>
      <c r="F21" s="131">
        <f>Input!C18</f>
        <v>0</v>
      </c>
      <c r="G21" s="131">
        <f>Input!C19</f>
        <v>0</v>
      </c>
      <c r="H21" s="131">
        <f>Input!C20</f>
        <v>0</v>
      </c>
      <c r="I21" s="141"/>
      <c r="J21" s="142"/>
      <c r="K21" s="159"/>
      <c r="T21" s="157">
        <f>INDEX($U$17:$U$29,Rechengang!T5,)</f>
        <v>0.7</v>
      </c>
      <c r="U21" s="158">
        <v>0.7</v>
      </c>
    </row>
    <row r="22" spans="1:21" ht="15.75" customHeight="1">
      <c r="A22" s="108"/>
      <c r="B22" s="341" t="str">
        <f>Sprache!B506</f>
        <v>Betrieb pro Woche (max. 168h)</v>
      </c>
      <c r="C22" s="125"/>
      <c r="D22" s="125" t="s">
        <v>430</v>
      </c>
      <c r="E22" s="140">
        <f>168-F22-G22-H22</f>
        <v>168</v>
      </c>
      <c r="F22" s="131">
        <f>Input!C21</f>
        <v>0</v>
      </c>
      <c r="G22" s="131">
        <f>Input!C22</f>
        <v>0</v>
      </c>
      <c r="H22" s="131">
        <f>Input!C23</f>
        <v>0</v>
      </c>
      <c r="I22" s="141"/>
      <c r="J22" s="128">
        <f>SUM(E22:H22)</f>
        <v>168</v>
      </c>
      <c r="T22" s="157"/>
      <c r="U22" s="158">
        <v>0.7</v>
      </c>
    </row>
    <row r="23" spans="1:21" ht="15.75" customHeight="1">
      <c r="A23" s="108"/>
      <c r="B23" s="341" t="str">
        <f>Sprache!B507</f>
        <v>Volumenstrom Lüftungsanlage</v>
      </c>
      <c r="C23" s="125"/>
      <c r="D23" s="143" t="s">
        <v>1018</v>
      </c>
      <c r="E23" s="144"/>
      <c r="F23" s="144">
        <f>IF(_EBF1,Vzul1Stufe1/_EBF1,)</f>
        <v>0</v>
      </c>
      <c r="G23" s="144">
        <f>IF(_EBF1,Vzul1Stufe2/_EBF1,)</f>
        <v>0</v>
      </c>
      <c r="H23" s="144">
        <f>IF(_EBF1,Vzul1Stufe3/_EBF1,)</f>
        <v>0</v>
      </c>
      <c r="I23" s="141"/>
      <c r="J23" s="145">
        <f>IF(SUM(F22:H22)&gt;168,9.99,IF(SUM(F22:H22)&gt;0,(Vsup1Stufe1*F22+Vsup1Stufe2*G22+Vsup1Stufe3*H22)/(F22+G22+H22),_nL1))</f>
        <v>0.7</v>
      </c>
      <c r="T23" s="157"/>
      <c r="U23" s="158">
        <v>1.2</v>
      </c>
    </row>
    <row r="24" spans="1:21" ht="15.75" customHeight="1">
      <c r="A24" s="108"/>
      <c r="B24" s="341" t="str">
        <f>Sprache!B508</f>
        <v>Therm.wirksamer Aussenl.-V.str.</v>
      </c>
      <c r="C24" s="125" t="s">
        <v>698</v>
      </c>
      <c r="D24" s="125" t="s">
        <v>1018</v>
      </c>
      <c r="E24" s="144">
        <f>Vo</f>
        <v>0.12</v>
      </c>
      <c r="F24" s="144">
        <f>IF(F22&gt;0,Vx+(1-_WRG1)*Vsup1Stufe1,0)</f>
        <v>0</v>
      </c>
      <c r="G24" s="144">
        <f>IF(G22&gt;0,Vx+(1-_WRG1)*Vsup1Stufe2,0)</f>
        <v>0</v>
      </c>
      <c r="H24" s="144">
        <f>IF(H22&gt;0,Vx+(1-_WRG1)*Vsup1Stufe3,0)</f>
        <v>0</v>
      </c>
      <c r="I24" s="141"/>
      <c r="J24" s="145">
        <f>IF(SUM(F22:H22)&gt;168,9.99,IF(SUM(F22:H22)&gt;0,(_Vo1*E22+F24*F22+G24*G22+H24*H22)/168,_nL1))</f>
        <v>0.7</v>
      </c>
      <c r="T24" s="157"/>
      <c r="U24" s="160">
        <v>1</v>
      </c>
    </row>
    <row r="25" spans="1:21" ht="15.75" customHeight="1">
      <c r="A25" s="108"/>
      <c r="B25" s="341" t="str">
        <f>Sprache!B509</f>
        <v>Luftwechselrate n</v>
      </c>
      <c r="C25" s="125"/>
      <c r="D25" s="125" t="s">
        <v>1132</v>
      </c>
      <c r="E25" s="144">
        <f>IF(Höhe1,E24/Höhe1/0.9,)</f>
        <v>0</v>
      </c>
      <c r="F25" s="144">
        <f>IF(Höhe1,(Vsup1Stufe1+Vx)/Höhe1/0.9,)</f>
        <v>0</v>
      </c>
      <c r="G25" s="144">
        <f>IF(Höhe1,(Vsup1Stufe2+Vx)/Höhe1/0.9,)</f>
        <v>0</v>
      </c>
      <c r="H25" s="144">
        <f>IF(Höhe1,(Vsup1Stufe3+Vx)/Höhe1/0.9,)</f>
        <v>0</v>
      </c>
      <c r="I25" s="141"/>
      <c r="J25" s="242">
        <f>(E25*E22+F25*F22+G25*G22+H25*H22)/168</f>
        <v>0</v>
      </c>
      <c r="T25" s="157"/>
      <c r="U25" s="160">
        <v>1</v>
      </c>
    </row>
    <row r="26" spans="1:21" ht="15.75" customHeight="1">
      <c r="A26" s="108"/>
      <c r="B26" s="342" t="str">
        <f>Sprache!B510</f>
        <v>Strombedarf Lüftungsanlage</v>
      </c>
      <c r="C26" s="146"/>
      <c r="D26" s="146" t="s">
        <v>1021</v>
      </c>
      <c r="E26" s="146"/>
      <c r="F26" s="147">
        <f>IF(_EBF1&gt;0,Pel1Stufe1*F22*Wochen1/1000/_EBF1,)</f>
        <v>0</v>
      </c>
      <c r="G26" s="147">
        <f>IF(_EBF1&gt;0,Pel1Stufe2*G22*Wochen1/1000/_EBF1,)</f>
        <v>0</v>
      </c>
      <c r="H26" s="147">
        <f>IF(_EBF1&gt;0,Pel1Stufe3*H22*Wochen1/1000/_EBF1,)</f>
        <v>0</v>
      </c>
      <c r="I26" s="148"/>
      <c r="J26" s="149">
        <f>SUM(F26:H26)</f>
        <v>0</v>
      </c>
      <c r="T26" s="157"/>
      <c r="U26" s="158">
        <v>0.7</v>
      </c>
    </row>
    <row r="27" spans="2:21" ht="12">
      <c r="B27" s="109"/>
      <c r="C27" s="108"/>
      <c r="D27" s="108"/>
      <c r="E27" s="109"/>
      <c r="F27" s="109"/>
      <c r="G27" s="109"/>
      <c r="H27" s="109"/>
      <c r="I27" s="216"/>
      <c r="J27" s="109"/>
      <c r="T27" s="157"/>
      <c r="U27" s="158">
        <v>0.3</v>
      </c>
    </row>
    <row r="28" spans="1:21" ht="15.75" customHeight="1">
      <c r="A28" s="108"/>
      <c r="B28" s="205" t="str">
        <f>Sprache!B500</f>
        <v>Details für Zone 2</v>
      </c>
      <c r="C28" s="120"/>
      <c r="D28" s="451" t="str">
        <f>Sprache!B514</f>
        <v>Gebäudekategorie: </v>
      </c>
      <c r="E28" s="451"/>
      <c r="F28" s="218">
        <f>Rechengang!U3</f>
      </c>
      <c r="G28" s="221" t="str">
        <f>Sprache!B519</f>
        <v>Betriebszeit:</v>
      </c>
      <c r="H28" s="294">
        <f>Input!C164</f>
        <v>0</v>
      </c>
      <c r="I28" s="219"/>
      <c r="J28" s="220" t="str">
        <f>Sprache!B520</f>
        <v>Wochen/a</v>
      </c>
      <c r="T28" s="157"/>
      <c r="U28" s="158">
        <v>0.7</v>
      </c>
    </row>
    <row r="29" spans="1:21" ht="15.75" customHeight="1">
      <c r="A29" s="108"/>
      <c r="B29" s="340" t="str">
        <f>Sprache!B503</f>
        <v>Lüftungsanlage (ZUL + ABL):</v>
      </c>
      <c r="C29" s="137"/>
      <c r="D29" s="137"/>
      <c r="E29" s="222" t="str">
        <f>Sprache!B515</f>
        <v>Aus</v>
      </c>
      <c r="F29" s="222" t="str">
        <f>Sprache!B516</f>
        <v>Stufe 1</v>
      </c>
      <c r="G29" s="222" t="str">
        <f>Sprache!B517</f>
        <v>Stufe 2</v>
      </c>
      <c r="H29" s="222" t="str">
        <f>Sprache!B518</f>
        <v>Stufe 3</v>
      </c>
      <c r="I29" s="138"/>
      <c r="J29" s="139" t="str">
        <f>Sprache!B498</f>
        <v>Summe</v>
      </c>
      <c r="T29" s="157"/>
      <c r="U29" s="163">
        <v>0.7</v>
      </c>
    </row>
    <row r="30" spans="1:21" ht="15.75" customHeight="1">
      <c r="A30" s="108"/>
      <c r="B30" s="341" t="str">
        <f>Sprache!B504</f>
        <v>Luftmenge</v>
      </c>
      <c r="C30" s="125"/>
      <c r="D30" s="125" t="s">
        <v>1019</v>
      </c>
      <c r="E30" s="140">
        <f>_Vo2*_EBF2</f>
        <v>0</v>
      </c>
      <c r="F30" s="131">
        <f>Input!C34</f>
        <v>0</v>
      </c>
      <c r="G30" s="131">
        <f>Input!C35</f>
        <v>0</v>
      </c>
      <c r="H30" s="131">
        <f>Input!C36</f>
        <v>0</v>
      </c>
      <c r="I30" s="141"/>
      <c r="J30" s="142"/>
      <c r="T30" s="162"/>
      <c r="U30" s="163"/>
    </row>
    <row r="31" spans="1:10" ht="15.75" customHeight="1">
      <c r="A31" s="108"/>
      <c r="B31" s="341" t="str">
        <f>Sprache!B505</f>
        <v>Elektr. Leistungsaufnahme ZUL+ABL</v>
      </c>
      <c r="C31" s="125"/>
      <c r="D31" s="125" t="s">
        <v>45</v>
      </c>
      <c r="E31" s="140"/>
      <c r="F31" s="131">
        <f>Input!C37</f>
        <v>0</v>
      </c>
      <c r="G31" s="131">
        <f>Input!C38</f>
        <v>0</v>
      </c>
      <c r="H31" s="131">
        <f>Input!C39</f>
        <v>0</v>
      </c>
      <c r="I31" s="141"/>
      <c r="J31" s="142"/>
    </row>
    <row r="32" spans="1:10" ht="15.75" customHeight="1">
      <c r="A32" s="108"/>
      <c r="B32" s="341" t="str">
        <f>Sprache!B506</f>
        <v>Betrieb pro Woche (max. 168h)</v>
      </c>
      <c r="C32" s="125"/>
      <c r="D32" s="125" t="s">
        <v>430</v>
      </c>
      <c r="E32" s="140">
        <f>168-F32-G32-H32</f>
        <v>168</v>
      </c>
      <c r="F32" s="131">
        <f>Input!C40</f>
        <v>0</v>
      </c>
      <c r="G32" s="131">
        <f>Input!C41</f>
        <v>0</v>
      </c>
      <c r="H32" s="131">
        <f>Input!C42</f>
        <v>0</v>
      </c>
      <c r="I32" s="141"/>
      <c r="J32" s="128">
        <f>SUM(E32:H32)</f>
        <v>168</v>
      </c>
    </row>
    <row r="33" spans="1:10" ht="15.75" customHeight="1">
      <c r="A33" s="108"/>
      <c r="B33" s="341" t="str">
        <f>Sprache!B507</f>
        <v>Volumenstrom Lüftungsanlage</v>
      </c>
      <c r="C33" s="125"/>
      <c r="D33" s="143" t="s">
        <v>1018</v>
      </c>
      <c r="E33" s="144"/>
      <c r="F33" s="144">
        <f>IF(_EBF2,Vzul2Stufe1/_EBF2,)</f>
        <v>0</v>
      </c>
      <c r="G33" s="144">
        <f>IF(_EBF2,Vzul2Stufe2/_EBF2,)</f>
        <v>0</v>
      </c>
      <c r="H33" s="144">
        <f>IF(_EBF2,Vzul2Stufe3/_EBF2,)</f>
        <v>0</v>
      </c>
      <c r="I33" s="141"/>
      <c r="J33" s="145">
        <f>IF(SUM(F32:H32)&gt;168,9.99,IF(SUM(F32:H32)&gt;0,(Vsup2Stufe1*F32+Vsup2Stufe2*G32+Vsup2Stufe3*H32)/(F32+G32+H32),_nL2))</f>
        <v>0.7</v>
      </c>
    </row>
    <row r="34" spans="1:10" ht="15.75" customHeight="1">
      <c r="A34" s="108"/>
      <c r="B34" s="341" t="str">
        <f>Sprache!B508</f>
        <v>Therm.wirksamer Aussenl.-V.str.</v>
      </c>
      <c r="C34" s="125" t="s">
        <v>698</v>
      </c>
      <c r="D34" s="125" t="s">
        <v>1018</v>
      </c>
      <c r="E34" s="144">
        <f>Vo</f>
        <v>0.12</v>
      </c>
      <c r="F34" s="144">
        <f>IF(F32&gt;0,Vx+(1-_WRG2)*Vsup2Stufe1,0)</f>
        <v>0</v>
      </c>
      <c r="G34" s="144">
        <f>IF(G32&gt;0,Vx+(1-_WRG2)*Vsup2Stufe2,0)</f>
        <v>0</v>
      </c>
      <c r="H34" s="144">
        <f>IF(H32&gt;0,Vx+(1-_WRG2)*Vsup2Stufe3,0)</f>
        <v>0</v>
      </c>
      <c r="I34" s="141"/>
      <c r="J34" s="145">
        <f>IF(SUM(F32:H32)&gt;168,9.99,IF(SUM(F32:H32)&gt;0,(_Vo2*E32+F34*F32+G34*G32+H34*H32)/168,_nL2))</f>
        <v>0.7</v>
      </c>
    </row>
    <row r="35" spans="1:21" ht="15.75" customHeight="1">
      <c r="A35" s="108"/>
      <c r="B35" s="341" t="str">
        <f>Sprache!B509</f>
        <v>Luftwechselrate n</v>
      </c>
      <c r="C35" s="125"/>
      <c r="D35" s="125" t="s">
        <v>1132</v>
      </c>
      <c r="E35" s="144">
        <f>IF(Höhe2,E34/Höhe2/0.9,)</f>
        <v>0</v>
      </c>
      <c r="F35" s="144">
        <f>IF(Höhe2,(Vsup2Stufe1+Vx)/Höhe2/0.9,)</f>
        <v>0</v>
      </c>
      <c r="G35" s="144">
        <f>IF(Höhe2,(Vsup2Stufe2+Vx)/Höhe2/0.9,)</f>
        <v>0</v>
      </c>
      <c r="H35" s="144">
        <f>IF(Höhe2,(Vsup2Stufe3+Vx)/Höhe2/0.9,)</f>
        <v>0</v>
      </c>
      <c r="I35" s="141"/>
      <c r="J35" s="242">
        <f>(E35*E32+F35*F32+G35*G32+H35*H32)/168</f>
        <v>0</v>
      </c>
      <c r="T35" s="157"/>
      <c r="U35" s="160"/>
    </row>
    <row r="36" spans="1:10" ht="15.75" customHeight="1">
      <c r="A36" s="108"/>
      <c r="B36" s="342" t="str">
        <f>Sprache!B510</f>
        <v>Strombedarf Lüftungsanlage</v>
      </c>
      <c r="C36" s="146"/>
      <c r="D36" s="146" t="s">
        <v>1021</v>
      </c>
      <c r="E36" s="146"/>
      <c r="F36" s="147">
        <f>IF(_EBF2&gt;0,Pel2Stufe1*F32*Wochen2/1000/_EBF2,)</f>
        <v>0</v>
      </c>
      <c r="G36" s="147">
        <f>IF(_EBF2&gt;0,Pel2Stufe2*G32*Wochen2/1000/_EBF2,)</f>
        <v>0</v>
      </c>
      <c r="H36" s="147">
        <f>IF(_EBF2&gt;0,Pel2Stufe3*H32*Wochen2/1000/_EBF2,)</f>
        <v>0</v>
      </c>
      <c r="I36" s="151"/>
      <c r="J36" s="149">
        <f>SUM(F36:H36)</f>
        <v>0</v>
      </c>
    </row>
    <row r="37" spans="2:10" ht="12.75" customHeight="1">
      <c r="B37" s="109"/>
      <c r="C37" s="108"/>
      <c r="D37" s="108"/>
      <c r="E37" s="109"/>
      <c r="F37" s="109"/>
      <c r="G37" s="109"/>
      <c r="H37" s="109"/>
      <c r="I37" s="216"/>
      <c r="J37" s="109"/>
    </row>
    <row r="38" spans="1:10" ht="15.75" customHeight="1">
      <c r="A38" s="108"/>
      <c r="B38" s="205" t="str">
        <f>Sprache!B501</f>
        <v>Details für Zone 3</v>
      </c>
      <c r="C38" s="120"/>
      <c r="D38" s="451" t="str">
        <f>Sprache!B514</f>
        <v>Gebäudekategorie: </v>
      </c>
      <c r="E38" s="451"/>
      <c r="F38" s="218">
        <f>Rechengang!U4</f>
      </c>
      <c r="G38" s="221" t="str">
        <f>Sprache!B519</f>
        <v>Betriebszeit:</v>
      </c>
      <c r="H38" s="294">
        <f>Input!C165</f>
        <v>0</v>
      </c>
      <c r="I38" s="219"/>
      <c r="J38" s="220" t="str">
        <f>Sprache!B520</f>
        <v>Wochen/a</v>
      </c>
    </row>
    <row r="39" spans="1:10" ht="15.75" customHeight="1">
      <c r="A39" s="108"/>
      <c r="B39" s="340" t="str">
        <f>Sprache!B503</f>
        <v>Lüftungsanlage (ZUL + ABL):</v>
      </c>
      <c r="C39" s="137"/>
      <c r="D39" s="137"/>
      <c r="E39" s="222" t="str">
        <f>Sprache!B515</f>
        <v>Aus</v>
      </c>
      <c r="F39" s="222" t="str">
        <f>Sprache!B516</f>
        <v>Stufe 1</v>
      </c>
      <c r="G39" s="222" t="str">
        <f>Sprache!B517</f>
        <v>Stufe 2</v>
      </c>
      <c r="H39" s="222" t="str">
        <f>Sprache!B518</f>
        <v>Stufe 3</v>
      </c>
      <c r="I39" s="138"/>
      <c r="J39" s="139" t="str">
        <f>Sprache!B498</f>
        <v>Summe</v>
      </c>
    </row>
    <row r="40" spans="1:10" ht="15.75" customHeight="1">
      <c r="A40" s="108"/>
      <c r="B40" s="341" t="str">
        <f>Sprache!B504</f>
        <v>Luftmenge</v>
      </c>
      <c r="C40" s="125"/>
      <c r="D40" s="125" t="s">
        <v>1019</v>
      </c>
      <c r="E40" s="140">
        <f>_Vo3*_EBF3</f>
        <v>0</v>
      </c>
      <c r="F40" s="131">
        <f>Input!C53</f>
        <v>0</v>
      </c>
      <c r="G40" s="131">
        <f>Input!C54</f>
        <v>0</v>
      </c>
      <c r="H40" s="131">
        <f>Input!C55</f>
        <v>0</v>
      </c>
      <c r="I40" s="141"/>
      <c r="J40" s="142"/>
    </row>
    <row r="41" spans="1:10" ht="15.75" customHeight="1">
      <c r="A41" s="108"/>
      <c r="B41" s="341" t="str">
        <f>Sprache!B505</f>
        <v>Elektr. Leistungsaufnahme ZUL+ABL</v>
      </c>
      <c r="C41" s="125"/>
      <c r="D41" s="125" t="s">
        <v>45</v>
      </c>
      <c r="E41" s="140"/>
      <c r="F41" s="131">
        <f>Input!C56</f>
        <v>0</v>
      </c>
      <c r="G41" s="131">
        <f>Input!C57</f>
        <v>0</v>
      </c>
      <c r="H41" s="131">
        <f>Input!C58</f>
        <v>0</v>
      </c>
      <c r="I41" s="141"/>
      <c r="J41" s="142"/>
    </row>
    <row r="42" spans="1:10" ht="15.75" customHeight="1">
      <c r="A42" s="108"/>
      <c r="B42" s="341" t="str">
        <f>Sprache!B506</f>
        <v>Betrieb pro Woche (max. 168h)</v>
      </c>
      <c r="C42" s="125"/>
      <c r="D42" s="125" t="s">
        <v>430</v>
      </c>
      <c r="E42" s="140">
        <f>168-F42-G42-H42</f>
        <v>168</v>
      </c>
      <c r="F42" s="131">
        <f>Input!C59</f>
        <v>0</v>
      </c>
      <c r="G42" s="131">
        <f>Input!C60</f>
        <v>0</v>
      </c>
      <c r="H42" s="131">
        <f>Input!C61</f>
        <v>0</v>
      </c>
      <c r="I42" s="141"/>
      <c r="J42" s="128">
        <f>SUM(E42:H42)</f>
        <v>168</v>
      </c>
    </row>
    <row r="43" spans="1:10" ht="15.75" customHeight="1">
      <c r="A43" s="108"/>
      <c r="B43" s="341" t="str">
        <f>Sprache!B507</f>
        <v>Volumenstrom Lüftungsanlage</v>
      </c>
      <c r="C43" s="125"/>
      <c r="D43" s="143" t="s">
        <v>1018</v>
      </c>
      <c r="E43" s="144"/>
      <c r="F43" s="144">
        <f>IF(_EBF3,Vzul3Stufe1/_EBF3,)</f>
        <v>0</v>
      </c>
      <c r="G43" s="144">
        <f>IF(_EBF3,Vzul3Stufe2/_EBF3,)</f>
        <v>0</v>
      </c>
      <c r="H43" s="144">
        <f>IF(_EBF3,Vzul3Stufe3/_EBF3,)</f>
        <v>0</v>
      </c>
      <c r="I43" s="141"/>
      <c r="J43" s="145">
        <f>IF(SUM(F42:H42)&gt;168,9.99,IF(SUM(F42:H42)&gt;0,(Vsup3Stufe1*F42+Vsup3Stufe2*G42+Vsup3Stufe3*H42)/(F42+G42+H42),_nL3))</f>
        <v>0.7</v>
      </c>
    </row>
    <row r="44" spans="1:10" ht="15.75" customHeight="1">
      <c r="A44" s="108"/>
      <c r="B44" s="341" t="str">
        <f>Sprache!B508</f>
        <v>Therm.wirksamer Aussenl.-V.str.</v>
      </c>
      <c r="C44" s="125" t="s">
        <v>698</v>
      </c>
      <c r="D44" s="125" t="s">
        <v>1018</v>
      </c>
      <c r="E44" s="144">
        <f>Vo</f>
        <v>0.12</v>
      </c>
      <c r="F44" s="144">
        <f>IF(F42&gt;0,Vx+(1-_WRG3)*Vsup3Stufe1,0)</f>
        <v>0</v>
      </c>
      <c r="G44" s="144">
        <f>IF(G42&gt;0,Vx+(1-_WRG3)*Vsup3Stufe2,0)</f>
        <v>0</v>
      </c>
      <c r="H44" s="144">
        <f>IF(H42&gt;0,Vx+(1-_WRG3)*Vsup3Stufe3,0)</f>
        <v>0</v>
      </c>
      <c r="I44" s="141"/>
      <c r="J44" s="145">
        <f>IF(SUM(F42:H42)&gt;168,9.99,IF(SUM(F42:H42)&gt;0,(_Vo3*E42+F44*F42+G44*G42+H44*H42)/168,_nL3))</f>
        <v>0.7</v>
      </c>
    </row>
    <row r="45" spans="1:21" ht="15.75" customHeight="1">
      <c r="A45" s="108"/>
      <c r="B45" s="341" t="str">
        <f>Sprache!B509</f>
        <v>Luftwechselrate n</v>
      </c>
      <c r="C45" s="125"/>
      <c r="D45" s="125" t="s">
        <v>1132</v>
      </c>
      <c r="E45" s="144">
        <f>IF(Höhe3,E44/Höhe3/0.9,)</f>
        <v>0</v>
      </c>
      <c r="F45" s="144">
        <f>IF(Höhe3,(Vsup3Stufe1+Vx)/Höhe3/0.9,)</f>
        <v>0</v>
      </c>
      <c r="G45" s="144">
        <f>IF(Höhe3,(Vsup3Stufe2+Vx)/Höhe3/0.9,)</f>
        <v>0</v>
      </c>
      <c r="H45" s="144">
        <f>IF(Höhe3,(Vsup3Stufe3+Vx)/Höhe3/0.9,)</f>
        <v>0</v>
      </c>
      <c r="I45" s="141"/>
      <c r="J45" s="242">
        <f>(E45*E42+F45*F42+G45*G42+H45*H42)/168</f>
        <v>0</v>
      </c>
      <c r="T45" s="157"/>
      <c r="U45" s="160"/>
    </row>
    <row r="46" spans="1:10" ht="15.75" customHeight="1">
      <c r="A46" s="108"/>
      <c r="B46" s="342" t="str">
        <f>Sprache!B510</f>
        <v>Strombedarf Lüftungsanlage</v>
      </c>
      <c r="C46" s="146"/>
      <c r="D46" s="146" t="s">
        <v>1021</v>
      </c>
      <c r="E46" s="146"/>
      <c r="F46" s="147">
        <f>IF(_EBF3&gt;0,Pel3Stufe1*F42*Wochen3/1000/_EBF3,)</f>
        <v>0</v>
      </c>
      <c r="G46" s="147">
        <f>IF(_EBF3&gt;0,Pel3Stufe2*G42*Wochen3/1000/_EBF3,)</f>
        <v>0</v>
      </c>
      <c r="H46" s="147">
        <f>IF(_EBF3&gt;0,Pel3Stufe3*H42*Wochen3/1000/_EBF3,)</f>
        <v>0</v>
      </c>
      <c r="I46" s="151"/>
      <c r="J46" s="149">
        <f>SUM(F46:H46)</f>
        <v>0</v>
      </c>
    </row>
    <row r="47" spans="2:10" ht="12.75" customHeight="1">
      <c r="B47" s="109"/>
      <c r="C47" s="109"/>
      <c r="D47" s="109"/>
      <c r="E47" s="109"/>
      <c r="F47" s="109"/>
      <c r="G47" s="109"/>
      <c r="H47" s="109"/>
      <c r="I47" s="216"/>
      <c r="J47" s="109"/>
    </row>
    <row r="48" spans="1:10" ht="15.75" customHeight="1">
      <c r="A48" s="108"/>
      <c r="B48" s="205" t="str">
        <f>Sprache!B502</f>
        <v>Details für Zone 4</v>
      </c>
      <c r="C48" s="120"/>
      <c r="D48" s="451" t="str">
        <f>Sprache!B514</f>
        <v>Gebäudekategorie: </v>
      </c>
      <c r="E48" s="451"/>
      <c r="F48" s="218">
        <f>Rechengang!U5</f>
      </c>
      <c r="G48" s="221" t="str">
        <f>Sprache!B519</f>
        <v>Betriebszeit:</v>
      </c>
      <c r="H48" s="294">
        <f>Input!C166</f>
        <v>0</v>
      </c>
      <c r="I48" s="219"/>
      <c r="J48" s="220" t="str">
        <f>Sprache!B520</f>
        <v>Wochen/a</v>
      </c>
    </row>
    <row r="49" spans="1:10" ht="15.75" customHeight="1">
      <c r="A49" s="108"/>
      <c r="B49" s="340" t="str">
        <f>Sprache!B503</f>
        <v>Lüftungsanlage (ZUL + ABL):</v>
      </c>
      <c r="C49" s="137"/>
      <c r="D49" s="137"/>
      <c r="E49" s="222" t="str">
        <f>Sprache!B515</f>
        <v>Aus</v>
      </c>
      <c r="F49" s="222" t="str">
        <f>Sprache!B516</f>
        <v>Stufe 1</v>
      </c>
      <c r="G49" s="222" t="str">
        <f>Sprache!B517</f>
        <v>Stufe 2</v>
      </c>
      <c r="H49" s="222" t="str">
        <f>Sprache!B518</f>
        <v>Stufe 3</v>
      </c>
      <c r="I49" s="138"/>
      <c r="J49" s="139" t="str">
        <f>Sprache!B498</f>
        <v>Summe</v>
      </c>
    </row>
    <row r="50" spans="1:10" ht="15.75" customHeight="1">
      <c r="A50" s="108"/>
      <c r="B50" s="341" t="str">
        <f>Sprache!B504</f>
        <v>Luftmenge</v>
      </c>
      <c r="C50" s="125"/>
      <c r="D50" s="125" t="s">
        <v>1019</v>
      </c>
      <c r="E50" s="140">
        <f>_Vo4*_EBF4</f>
        <v>0</v>
      </c>
      <c r="F50" s="131">
        <f>Input!C72</f>
        <v>0</v>
      </c>
      <c r="G50" s="131">
        <f>Input!C73</f>
        <v>0</v>
      </c>
      <c r="H50" s="131">
        <f>Input!C74</f>
        <v>0</v>
      </c>
      <c r="I50" s="141"/>
      <c r="J50" s="142"/>
    </row>
    <row r="51" spans="1:10" ht="15.75" customHeight="1">
      <c r="A51" s="108"/>
      <c r="B51" s="341" t="str">
        <f>Sprache!B505</f>
        <v>Elektr. Leistungsaufnahme ZUL+ABL</v>
      </c>
      <c r="C51" s="125"/>
      <c r="D51" s="125" t="s">
        <v>45</v>
      </c>
      <c r="E51" s="140"/>
      <c r="F51" s="131">
        <f>Input!C75</f>
        <v>0</v>
      </c>
      <c r="G51" s="131">
        <f>Input!C76</f>
        <v>0</v>
      </c>
      <c r="H51" s="131">
        <f>Input!C77</f>
        <v>0</v>
      </c>
      <c r="I51" s="141"/>
      <c r="J51" s="142"/>
    </row>
    <row r="52" spans="1:10" ht="15.75" customHeight="1">
      <c r="A52" s="108"/>
      <c r="B52" s="341" t="str">
        <f>Sprache!B506</f>
        <v>Betrieb pro Woche (max. 168h)</v>
      </c>
      <c r="C52" s="125"/>
      <c r="D52" s="125" t="s">
        <v>430</v>
      </c>
      <c r="E52" s="140">
        <f>168-F52-G52-H52</f>
        <v>168</v>
      </c>
      <c r="F52" s="131">
        <f>Input!C78</f>
        <v>0</v>
      </c>
      <c r="G52" s="131">
        <f>Input!C79</f>
        <v>0</v>
      </c>
      <c r="H52" s="131">
        <f>Input!C80</f>
        <v>0</v>
      </c>
      <c r="I52" s="141"/>
      <c r="J52" s="128">
        <f>SUM(E52:H52)</f>
        <v>168</v>
      </c>
    </row>
    <row r="53" spans="1:10" ht="15.75" customHeight="1">
      <c r="A53" s="108"/>
      <c r="B53" s="341" t="str">
        <f>Sprache!B507</f>
        <v>Volumenstrom Lüftungsanlage</v>
      </c>
      <c r="C53" s="125"/>
      <c r="D53" s="143" t="s">
        <v>1018</v>
      </c>
      <c r="E53" s="144"/>
      <c r="F53" s="144">
        <f>IF(_EBF4,Vzul4Stufe1/_EBF4,)</f>
        <v>0</v>
      </c>
      <c r="G53" s="144">
        <f>IF(_EBF4,Vzul4Stufe2/_EBF4,)</f>
        <v>0</v>
      </c>
      <c r="H53" s="144">
        <f>IF(_EBF4,Vzul4Stufe3/_EBF4,)</f>
        <v>0</v>
      </c>
      <c r="I53" s="141"/>
      <c r="J53" s="145">
        <f>IF(SUM(F52:H52)&gt;168,9.99,IF(SUM(F52:H52)&gt;0,(Vsup4Stufe1*F52+Vsup4Stufe2*G52+Vsup4Stufe3*H52)/(F52+G52+H52),_nL4))</f>
        <v>0.7</v>
      </c>
    </row>
    <row r="54" spans="1:10" ht="15.75" customHeight="1">
      <c r="A54" s="108"/>
      <c r="B54" s="341" t="str">
        <f>Sprache!B508</f>
        <v>Therm.wirksamer Aussenl.-V.str.</v>
      </c>
      <c r="C54" s="125" t="s">
        <v>698</v>
      </c>
      <c r="D54" s="125" t="s">
        <v>1018</v>
      </c>
      <c r="E54" s="144">
        <f>Vo</f>
        <v>0.12</v>
      </c>
      <c r="F54" s="144">
        <f>IF(F52&gt;0,Vx+(1-_WRG4)*Vsup4Stufe1,0)</f>
        <v>0</v>
      </c>
      <c r="G54" s="144">
        <f>IF(G52&gt;0,Vx+(1-_WRG4)*Vsup4Stufe2,0)</f>
        <v>0</v>
      </c>
      <c r="H54" s="144">
        <f>IF(H52&gt;0,Vx+(1-_WRG4)*Vsup4Stufe3,0)</f>
        <v>0</v>
      </c>
      <c r="I54" s="141"/>
      <c r="J54" s="145">
        <f>IF(SUM(F52:H52)&gt;168,9.99,IF(SUM(F52:H52)&gt;0,(_Vo4*E52+F54*F52+G54*G52+H54*H52)/168,_nL4))</f>
        <v>0.7</v>
      </c>
    </row>
    <row r="55" spans="1:21" ht="15.75" customHeight="1">
      <c r="A55" s="108"/>
      <c r="B55" s="341" t="str">
        <f>Sprache!B509</f>
        <v>Luftwechselrate n</v>
      </c>
      <c r="C55" s="125"/>
      <c r="D55" s="125" t="s">
        <v>1132</v>
      </c>
      <c r="E55" s="144">
        <f>IF(Höhe4,E54/Höhe4/0.9,)</f>
        <v>0</v>
      </c>
      <c r="F55" s="144">
        <f>IF(Höhe4,(Vsup4Stufe1+Vx)/Höhe4/0.9,)</f>
        <v>0</v>
      </c>
      <c r="G55" s="144">
        <f>IF(Höhe4,(Vsup4Stufe2+Vx)/Höhe4/0.9,)</f>
        <v>0</v>
      </c>
      <c r="H55" s="144">
        <f>IF(Höhe4,(Vsup4Stufe3+Vx)/Höhe4/0.9,)</f>
        <v>0</v>
      </c>
      <c r="I55" s="141"/>
      <c r="J55" s="242">
        <f>(E55*E52+F55*F52+G55*G52+H55*H52)/168</f>
        <v>0</v>
      </c>
      <c r="T55" s="157"/>
      <c r="U55" s="160"/>
    </row>
    <row r="56" spans="1:10" ht="15.75" customHeight="1">
      <c r="A56" s="108"/>
      <c r="B56" s="342" t="str">
        <f>Sprache!B510</f>
        <v>Strombedarf Lüftungsanlage</v>
      </c>
      <c r="C56" s="146"/>
      <c r="D56" s="146" t="s">
        <v>1021</v>
      </c>
      <c r="E56" s="146"/>
      <c r="F56" s="147">
        <f>IF(_EBF4&gt;0,Pel4Stufe1*F52*Wochen4/1000/_EBF4,)</f>
        <v>0</v>
      </c>
      <c r="G56" s="147">
        <f>IF(_EBF4&gt;0,Pel4Stufe2*G52*Wochen4/1000/_EBF4,)</f>
        <v>0</v>
      </c>
      <c r="H56" s="147">
        <f>IF(_EBF4&gt;0,Pel4Stufe3*H52*Wochen4/1000/_EBF4,)</f>
        <v>0</v>
      </c>
      <c r="I56" s="151"/>
      <c r="J56" s="149">
        <f>SUM(F56:H56)</f>
        <v>0</v>
      </c>
    </row>
    <row r="57" spans="2:10" ht="12">
      <c r="B57" s="343" t="str">
        <f>Sprache!B511</f>
        <v> </v>
      </c>
      <c r="C57" s="109"/>
      <c r="D57" s="109"/>
      <c r="E57" s="109"/>
      <c r="F57" s="109"/>
      <c r="G57" s="109"/>
      <c r="H57" s="109"/>
      <c r="I57" s="109"/>
      <c r="J57" s="109"/>
    </row>
    <row r="58" spans="2:10" ht="12">
      <c r="B58" s="343" t="str">
        <f>Sprache!B512</f>
        <v>Aussenluftvolumenstrom durch Gebäudehülle bei laufender Lüftungsanlage:</v>
      </c>
      <c r="C58" s="109"/>
      <c r="D58" s="109"/>
      <c r="E58" s="109"/>
      <c r="F58" s="109"/>
      <c r="G58" s="240" t="s">
        <v>1031</v>
      </c>
      <c r="H58" s="246">
        <f>H59</f>
        <v>0.12</v>
      </c>
      <c r="I58" s="241" t="s">
        <v>1033</v>
      </c>
      <c r="J58" s="109"/>
    </row>
    <row r="59" spans="2:10" ht="12">
      <c r="B59" s="343" t="str">
        <f>Sprache!B513</f>
        <v>Aussenluftvolumenstrom durch Gebäudehülle bei stillstehender Lüftungsanlage:</v>
      </c>
      <c r="C59" s="109"/>
      <c r="D59" s="109"/>
      <c r="E59" s="109"/>
      <c r="F59" s="109"/>
      <c r="G59" s="240" t="s">
        <v>1129</v>
      </c>
      <c r="H59" s="246">
        <v>0.12</v>
      </c>
      <c r="I59" s="241" t="s">
        <v>1033</v>
      </c>
      <c r="J59" s="109"/>
    </row>
    <row r="60" spans="2:10" ht="12">
      <c r="B60" s="109"/>
      <c r="C60" s="109"/>
      <c r="D60" s="109"/>
      <c r="E60" s="109"/>
      <c r="F60" s="109"/>
      <c r="G60" s="109"/>
      <c r="H60" s="109"/>
      <c r="I60" s="109"/>
      <c r="J60" s="109"/>
    </row>
    <row r="61" spans="2:10" ht="12">
      <c r="B61" s="109"/>
      <c r="C61" s="109"/>
      <c r="D61" s="109"/>
      <c r="E61" s="109"/>
      <c r="F61" s="109"/>
      <c r="G61" s="109"/>
      <c r="H61" s="109"/>
      <c r="I61" s="109"/>
      <c r="J61" s="109"/>
    </row>
    <row r="62" spans="2:10" ht="12">
      <c r="B62" s="109"/>
      <c r="C62" s="109"/>
      <c r="D62" s="109"/>
      <c r="E62" s="109"/>
      <c r="F62" s="109"/>
      <c r="G62" s="109"/>
      <c r="H62" s="109"/>
      <c r="I62" s="109"/>
      <c r="J62" s="109"/>
    </row>
    <row r="63" spans="2:10" ht="12">
      <c r="B63" s="109"/>
      <c r="C63" s="109"/>
      <c r="D63" s="109"/>
      <c r="E63" s="109"/>
      <c r="F63" s="109"/>
      <c r="G63" s="109"/>
      <c r="H63" s="109"/>
      <c r="I63" s="109"/>
      <c r="J63" s="109"/>
    </row>
  </sheetData>
  <sheetProtection password="D2AA" sheet="1" objects="1" scenarios="1"/>
  <mergeCells count="4">
    <mergeCell ref="D48:E48"/>
    <mergeCell ref="D18:E18"/>
    <mergeCell ref="D28:E28"/>
    <mergeCell ref="D38:E38"/>
  </mergeCells>
  <printOptions/>
  <pageMargins left="0.7086614173228347" right="0.5118110236220472" top="0.4724409448818898" bottom="0.4724409448818898" header="0.5118110236220472" footer="0.31496062992125984"/>
  <pageSetup fitToHeight="1" fitToWidth="1" horizontalDpi="300" verticalDpi="300" orientation="portrait" paperSize="9" scale="95" r:id="rId1"/>
  <headerFooter alignWithMargins="0">
    <oddFooter>&amp;R&amp;8&amp;D &amp;T / &amp;F,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65"/>
  <sheetViews>
    <sheetView showZeros="0" zoomScaleSheetLayoutView="75" zoomScalePageLayoutView="0" workbookViewId="0" topLeftCell="A1">
      <selection activeCell="A1" sqref="A1"/>
    </sheetView>
  </sheetViews>
  <sheetFormatPr defaultColWidth="11.57421875" defaultRowHeight="12.75"/>
  <cols>
    <col min="1" max="1" width="3.7109375" style="29" customWidth="1"/>
    <col min="2" max="2" width="50.00390625" style="33" customWidth="1"/>
    <col min="3" max="4" width="16.28125" style="33" customWidth="1"/>
    <col min="5" max="5" width="1.28515625" style="33" customWidth="1"/>
    <col min="6" max="6" width="8.7109375" style="33" customWidth="1"/>
    <col min="7" max="7" width="11.57421875" style="33" customWidth="1"/>
    <col min="8" max="8" width="27.421875" style="33" hidden="1" customWidth="1"/>
    <col min="9" max="9" width="7.28125" style="33" hidden="1" customWidth="1"/>
    <col min="10" max="10" width="8.57421875" style="33" hidden="1" customWidth="1"/>
    <col min="11" max="11" width="6.8515625" style="33" hidden="1" customWidth="1"/>
    <col min="12" max="17" width="11.57421875" style="33" hidden="1" customWidth="1"/>
    <col min="18" max="18" width="8.28125" style="33" hidden="1" customWidth="1"/>
    <col min="19" max="19" width="18.28125" style="33" hidden="1" customWidth="1"/>
    <col min="20" max="20" width="11.57421875" style="33" hidden="1" customWidth="1"/>
    <col min="21" max="21" width="24.8515625" style="33" hidden="1" customWidth="1"/>
    <col min="22" max="16384" width="11.57421875" style="33" customWidth="1"/>
  </cols>
  <sheetData>
    <row r="1" spans="1:6" ht="9" customHeight="1">
      <c r="A1" s="164"/>
      <c r="B1" s="136"/>
      <c r="C1" s="136"/>
      <c r="D1" s="165" t="str">
        <f>Sprache!B407</f>
        <v>Beilage / Seite:</v>
      </c>
      <c r="E1" s="136"/>
      <c r="F1" s="32"/>
    </row>
    <row r="2" spans="1:6" ht="15">
      <c r="A2" s="164"/>
      <c r="B2" s="174" t="str">
        <f>Sprache!B408</f>
        <v>Projekt:</v>
      </c>
      <c r="C2" s="136"/>
      <c r="D2" s="136"/>
      <c r="E2" s="136"/>
      <c r="F2" s="245" t="str">
        <f>Rechengang!J2</f>
        <v>RechNach.xls / Version 7.0</v>
      </c>
    </row>
    <row r="3" spans="1:6" ht="12" customHeight="1">
      <c r="A3" s="164"/>
      <c r="B3" s="212">
        <f>Projekt1</f>
        <v>0</v>
      </c>
      <c r="C3" s="167"/>
      <c r="D3" s="167"/>
      <c r="E3" s="167"/>
      <c r="F3" s="168"/>
    </row>
    <row r="4" spans="1:6" ht="12" customHeight="1">
      <c r="A4" s="164"/>
      <c r="B4" s="213">
        <f>Projekt2</f>
        <v>0</v>
      </c>
      <c r="C4" s="169"/>
      <c r="D4" s="169"/>
      <c r="E4" s="169"/>
      <c r="F4" s="170"/>
    </row>
    <row r="5" spans="1:6" ht="12" customHeight="1">
      <c r="A5" s="164"/>
      <c r="B5" s="214">
        <f>Projekt3</f>
        <v>0</v>
      </c>
      <c r="C5" s="171"/>
      <c r="D5" s="171"/>
      <c r="E5" s="171"/>
      <c r="F5" s="172"/>
    </row>
    <row r="6" spans="1:6" ht="6" customHeight="1">
      <c r="A6" s="164"/>
      <c r="B6" s="136"/>
      <c r="C6" s="136"/>
      <c r="D6" s="136"/>
      <c r="E6" s="136"/>
      <c r="F6" s="136"/>
    </row>
    <row r="7" spans="1:6" ht="12" hidden="1">
      <c r="A7" s="176"/>
      <c r="B7" s="166"/>
      <c r="C7" s="256"/>
      <c r="D7" s="166"/>
      <c r="E7" s="166"/>
      <c r="F7" s="166"/>
    </row>
    <row r="8" spans="1:6" ht="15">
      <c r="A8" s="176"/>
      <c r="B8" s="175" t="str">
        <f>Sprache!B409</f>
        <v>Beitrag der erneuerbaren Energien</v>
      </c>
      <c r="D8" s="173"/>
      <c r="E8" s="166"/>
      <c r="F8" s="338"/>
    </row>
    <row r="9" spans="1:6" ht="4.5" customHeight="1">
      <c r="A9" s="176"/>
      <c r="B9" s="166"/>
      <c r="C9" s="166"/>
      <c r="D9" s="166"/>
      <c r="E9" s="166"/>
      <c r="F9" s="166"/>
    </row>
    <row r="10" spans="1:6" ht="15.75" customHeight="1">
      <c r="A10" s="164"/>
      <c r="B10" s="205" t="str">
        <f>Sprache!B410</f>
        <v>Solaranlagen</v>
      </c>
      <c r="C10" s="177" t="s">
        <v>1022</v>
      </c>
      <c r="D10" s="177" t="s">
        <v>1023</v>
      </c>
      <c r="E10" s="178"/>
      <c r="F10" s="161"/>
    </row>
    <row r="11" spans="1:6" ht="15.75" customHeight="1">
      <c r="A11" s="164"/>
      <c r="B11" s="179" t="str">
        <f>Sprache!B411</f>
        <v>Anlage (Bezeichnung):</v>
      </c>
      <c r="C11" s="59">
        <f>Input!C82</f>
        <v>0</v>
      </c>
      <c r="D11" s="59">
        <f>Input!C87</f>
        <v>0</v>
      </c>
      <c r="E11" s="180"/>
      <c r="F11" s="181"/>
    </row>
    <row r="12" spans="1:20" ht="15.75" customHeight="1">
      <c r="A12" s="164"/>
      <c r="B12" s="182" t="str">
        <f>Sprache!B412</f>
        <v>Einsatz (Heizung oder Warmwasser)</v>
      </c>
      <c r="C12" s="59">
        <f>S13</f>
        <v>0</v>
      </c>
      <c r="D12" s="59">
        <f>T13</f>
        <v>0</v>
      </c>
      <c r="E12" s="183"/>
      <c r="F12" s="184"/>
      <c r="S12" s="152">
        <f>Input!C83</f>
        <v>0</v>
      </c>
      <c r="T12" s="152">
        <f>Input!C88</f>
        <v>0</v>
      </c>
    </row>
    <row r="13" spans="1:20" ht="15.75" customHeight="1">
      <c r="A13" s="164"/>
      <c r="B13" s="182" t="str">
        <f>Sprache!B413</f>
        <v>Absorberfläche </v>
      </c>
      <c r="C13" s="185">
        <f>Input!C84</f>
        <v>0</v>
      </c>
      <c r="D13" s="185">
        <f>Input!C89</f>
        <v>0</v>
      </c>
      <c r="E13" s="183"/>
      <c r="F13" s="184" t="s">
        <v>50</v>
      </c>
      <c r="S13" s="33">
        <f>IF(S12&gt;1,S12,Input!C83)</f>
        <v>0</v>
      </c>
      <c r="T13" s="33">
        <f>IF(T12&gt;1,T12,Input!C88)</f>
        <v>0</v>
      </c>
    </row>
    <row r="14" spans="1:6" ht="15.75" customHeight="1">
      <c r="A14" s="164"/>
      <c r="B14" s="182" t="s">
        <v>973</v>
      </c>
      <c r="C14" s="412">
        <f>Input!C86</f>
        <v>0</v>
      </c>
      <c r="D14" s="412">
        <f>Input!C91</f>
        <v>0</v>
      </c>
      <c r="E14" s="183"/>
      <c r="F14" s="184" t="s">
        <v>38</v>
      </c>
    </row>
    <row r="15" spans="1:6" ht="21.75" customHeight="1">
      <c r="A15" s="164"/>
      <c r="B15" s="380" t="str">
        <f>Sprache!B415</f>
        <v>Ertrag pro m² Absorberfläche (inkl. Reduktionsfaktor)</v>
      </c>
      <c r="C15" s="186">
        <f>IF(OR(C13="",EBF=0),0,IF(C12=2,0,IF(C12=4,IF(Hoehe&gt;=800,490/(1+610*C13/EBF/(Qwww+Qh)*3.6),440/(1+610*C13/EBF/(Qwww+Qh)*3.6)),IF(AND(C12=3,Qwww&gt;0),IF(Hoehe&gt;=800,700/(1+380*C13/EBF/Qwww*3.6),640/(1+380*C13/EBF/Qwww*3.6)),""))))</f>
        <v>0</v>
      </c>
      <c r="D15" s="186">
        <f>IF(OR(D13="",EBF=0),0,IF(D12=2,0,IF(D12=4,IF(Hoehe&gt;=800,490/(1+610*D13/EBF/(Qwww+Qh)*3.6),440/(1+610*D13/EBF/(Qwww+Qh)*3.6)),IF(AND(D12=3,Qwww&gt;0),IF(Hoehe&gt;=800,700/(1+380*D13/EBF/Qwww*3.6),640/(1+380*D13/EBF/Qwww*3.6)),""))))</f>
        <v>0</v>
      </c>
      <c r="E15" s="183"/>
      <c r="F15" s="184" t="s">
        <v>52</v>
      </c>
    </row>
    <row r="16" spans="1:21" ht="15.75" customHeight="1">
      <c r="A16" s="164"/>
      <c r="B16" s="182" t="str">
        <f>Sprache!B416</f>
        <v>- Eingabe (Berechnung beilegen)</v>
      </c>
      <c r="C16" s="388">
        <f>Input!C85</f>
        <v>0</v>
      </c>
      <c r="D16" s="388">
        <f>Input!C90</f>
        <v>0</v>
      </c>
      <c r="E16" s="183"/>
      <c r="F16" s="184" t="s">
        <v>52</v>
      </c>
      <c r="U16" s="243" t="s">
        <v>1135</v>
      </c>
    </row>
    <row r="17" spans="1:21" ht="15.75" customHeight="1">
      <c r="A17" s="164"/>
      <c r="B17" s="182" t="str">
        <f>Sprache!B417</f>
        <v>Produktion der Solaranlage:</v>
      </c>
      <c r="C17" s="186">
        <f>IF(OR(S12=0,S12=1,AND(C15=0,C12&lt;&gt;2)),0,IF(C12="",0,IF(C16&gt;0,C16*C13,C15*C13)))</f>
        <v>0</v>
      </c>
      <c r="D17" s="186">
        <f>IF(OR(T12=1,T12=0,AND(D15=0,D12&lt;&gt;2)),0,IF(D12="",0,IF(D16&gt;0,D16*D13,D15*D13)))</f>
        <v>0</v>
      </c>
      <c r="E17" s="183"/>
      <c r="F17" s="184" t="s">
        <v>22</v>
      </c>
      <c r="U17" s="225"/>
    </row>
    <row r="18" spans="1:21" ht="15.75" customHeight="1">
      <c r="A18" s="164"/>
      <c r="B18" s="182" t="str">
        <f>Sprache!B418</f>
        <v>Zu deckender Bedarf</v>
      </c>
      <c r="C18" s="186">
        <f>IF(C12=2,Qh*EBF/3.6,IF(C12=4,EBF*(Qh+Qwww)/3.6,Qwww*EBF/3.6))</f>
        <v>0</v>
      </c>
      <c r="D18" s="186">
        <f>IF(D12=2,Qh*EBF/3.6,IF(D12=4,EBF*(Qh+Qwww)/3.6,Qwww*EBF/3.6))</f>
        <v>0</v>
      </c>
      <c r="E18" s="183"/>
      <c r="F18" s="184" t="s">
        <v>22</v>
      </c>
      <c r="U18" s="225" t="str">
        <f>Sprache!B460</f>
        <v>Heizung</v>
      </c>
    </row>
    <row r="19" spans="1:21" ht="15.75" customHeight="1">
      <c r="A19" s="164"/>
      <c r="B19" s="182" t="s">
        <v>911</v>
      </c>
      <c r="C19" s="402">
        <f>IF(C14=0,IF(C18&gt;0,C17/C18,0),MIN(MAX(0,C21),MAX(0,C14)))</f>
        <v>0</v>
      </c>
      <c r="D19" s="402">
        <f>IF(D14=0,IF(D18&gt;0,D17/D18,0),MIN(MAX(0,D21),MAX(0,D14)))</f>
        <v>0</v>
      </c>
      <c r="E19" s="183"/>
      <c r="F19" s="184" t="s">
        <v>38</v>
      </c>
      <c r="H19" s="33">
        <f>Sprache!B419</f>
        <v>0</v>
      </c>
      <c r="U19" s="225" t="str">
        <f>Sprache!B461</f>
        <v>Warmwasser</v>
      </c>
    </row>
    <row r="20" spans="1:21" ht="15.75" customHeight="1">
      <c r="A20" s="164"/>
      <c r="B20" s="407" t="str">
        <f>Sprache!B420</f>
        <v>Nettobeitrag der Solaranlage</v>
      </c>
      <c r="C20" s="189">
        <f>MAX(MIN(C18*C19,IF(C17&lt;C18,C17,C18)),0)</f>
        <v>0</v>
      </c>
      <c r="D20" s="189">
        <f>MAX(MIN(D19*D18,IF(D17&lt;D18,D17,D18)),0)</f>
        <v>0</v>
      </c>
      <c r="E20" s="405"/>
      <c r="F20" s="406" t="s">
        <v>22</v>
      </c>
      <c r="U20" s="42" t="str">
        <f>Sprache!B462</f>
        <v>Heizung + Warmwasser</v>
      </c>
    </row>
    <row r="21" spans="1:6" ht="4.5" customHeight="1">
      <c r="A21" s="164"/>
      <c r="B21" s="136"/>
      <c r="C21" s="337">
        <f>IF(C18&gt;0,MIN(C17/C18,IF(OR(C13="",EBF=0),0,IF(C12=2,0.7,IF(C12=4,MIN(0.7,IF(Hoehe&gt;=800,(490-C15)/6.1,(440-C15)/6.1)),IF(AND(C12=3,Qwww&gt;0),MIN(0.7,IF(Hoehe&gt;=800,(700-C15)/3.8,(640-C15)/3.8)),0))))),IF(C18&gt;0,MIN(0.7,C17/C18),))</f>
        <v>0</v>
      </c>
      <c r="D21" s="337">
        <f>IF(D18&gt;0,MIN(D17/D18,IF(OR(D13="",EBF=0),0,IF(D12=2,0.7,IF(D12=4,MIN(0.7,IF(Hoehe&gt;=800,(490-D15)/6.1,(440-D15)/6.1)),IF(AND(D12=3,Qwww&gt;0),MIN(0.7,IF(Hoehe&gt;=800,(700-D15)/3.8,(640-D15)/3.8)),0))))),)</f>
        <v>0</v>
      </c>
      <c r="E21" s="136"/>
      <c r="F21" s="136"/>
    </row>
    <row r="22" spans="1:21" ht="15.75" customHeight="1">
      <c r="A22" s="164"/>
      <c r="B22" s="205" t="str">
        <f>Sprache!B422</f>
        <v>Wärmepumpe (WP)</v>
      </c>
      <c r="C22" s="177" t="s">
        <v>1022</v>
      </c>
      <c r="D22" s="177" t="s">
        <v>1023</v>
      </c>
      <c r="E22" s="178"/>
      <c r="F22" s="161"/>
      <c r="U22" s="243" t="s">
        <v>1138</v>
      </c>
    </row>
    <row r="23" spans="1:21" ht="15.75" customHeight="1">
      <c r="A23" s="164"/>
      <c r="B23" s="179" t="str">
        <f>Sprache!B423</f>
        <v>Anlage (Bezeichnung):</v>
      </c>
      <c r="C23" s="59">
        <f>Input!C92</f>
        <v>0</v>
      </c>
      <c r="D23" s="59">
        <f>Input!C100</f>
        <v>0</v>
      </c>
      <c r="E23" s="180"/>
      <c r="F23" s="181"/>
      <c r="G23" s="257"/>
      <c r="U23" s="225"/>
    </row>
    <row r="24" spans="1:21" ht="15.75" customHeight="1">
      <c r="A24" s="164"/>
      <c r="B24" s="179" t="str">
        <f>Sprache!B424</f>
        <v>Wärmequelle</v>
      </c>
      <c r="C24" s="59">
        <f>R25</f>
        <v>0</v>
      </c>
      <c r="D24" s="59">
        <f>T25</f>
        <v>0</v>
      </c>
      <c r="E24" s="180"/>
      <c r="F24" s="181"/>
      <c r="G24" s="257"/>
      <c r="I24" s="400" t="s">
        <v>1022</v>
      </c>
      <c r="J24" s="400" t="s">
        <v>1023</v>
      </c>
      <c r="Q24" s="250" t="s">
        <v>966</v>
      </c>
      <c r="R24" s="386">
        <f>Input!C93</f>
        <v>0</v>
      </c>
      <c r="S24" s="250" t="s">
        <v>963</v>
      </c>
      <c r="T24" s="386">
        <f>Input!C101</f>
        <v>0</v>
      </c>
      <c r="U24" s="225" t="str">
        <f>Sprache!B463</f>
        <v>Luft</v>
      </c>
    </row>
    <row r="25" spans="1:21" ht="15.75" customHeight="1">
      <c r="A25" s="164"/>
      <c r="B25" s="182" t="str">
        <f>Sprache!B425</f>
        <v>Einsatz (Heizung oder Warmwasser)</v>
      </c>
      <c r="C25" s="59">
        <f>R27</f>
        <v>0</v>
      </c>
      <c r="D25" s="59">
        <f>T27</f>
        <v>0</v>
      </c>
      <c r="E25" s="180"/>
      <c r="F25" s="181"/>
      <c r="H25" s="395" t="str">
        <f>Sprache!B432</f>
        <v>Zu deckender Bedarf  für Heizung</v>
      </c>
      <c r="I25" s="396">
        <f>EBF*Qh/3.6</f>
        <v>0</v>
      </c>
      <c r="J25" s="396">
        <f>EBF*Qh/3.6</f>
        <v>0</v>
      </c>
      <c r="K25" s="397" t="s">
        <v>22</v>
      </c>
      <c r="R25" s="232">
        <f>IF(R24&gt;1,R24,Input!C93)</f>
        <v>0</v>
      </c>
      <c r="T25" s="232">
        <f>IF(T24&gt;1,T24,Input!C101)</f>
        <v>0</v>
      </c>
      <c r="U25" s="225" t="str">
        <f>Sprache!B464</f>
        <v>Erde</v>
      </c>
    </row>
    <row r="26" spans="1:21" ht="15.75" customHeight="1">
      <c r="A26" s="164"/>
      <c r="B26" s="179" t="str">
        <f>Sprache!B426</f>
        <v>bei Wärmepumpen-Boiler</v>
      </c>
      <c r="C26" s="59">
        <f>R29</f>
        <v>0</v>
      </c>
      <c r="D26" s="59">
        <f>T29</f>
        <v>0</v>
      </c>
      <c r="E26" s="180"/>
      <c r="F26" s="181"/>
      <c r="H26" s="398"/>
      <c r="I26" s="399">
        <f>IF(OR(C25=2,C25=4),I25,0)</f>
        <v>0</v>
      </c>
      <c r="J26" s="399">
        <f>IF(OR(D25=2,D25=4),J25,0)</f>
        <v>0</v>
      </c>
      <c r="K26" s="397" t="s">
        <v>22</v>
      </c>
      <c r="Q26" s="250" t="s">
        <v>967</v>
      </c>
      <c r="R26" s="386">
        <f>Input!C94</f>
        <v>0</v>
      </c>
      <c r="S26" s="250" t="s">
        <v>964</v>
      </c>
      <c r="T26" s="386">
        <f>Input!C102</f>
        <v>0</v>
      </c>
      <c r="U26" s="42" t="str">
        <f>Sprache!B465</f>
        <v>Wasser</v>
      </c>
    </row>
    <row r="27" spans="1:20" ht="15.75" customHeight="1">
      <c r="A27" s="164"/>
      <c r="B27" s="182" t="str">
        <f>Sprache!B427</f>
        <v>Jahresarbeitszahl (ohne weitere Berechnung):</v>
      </c>
      <c r="C27" s="195">
        <f>IF(C25=3,IF(C26=2,3,2.4),IF(C24=2,2.5,IF(C24=3,3,IF(C24=4,3.3,))))</f>
        <v>0</v>
      </c>
      <c r="D27" s="195">
        <f>IF(D25=3,IF(D26=2,3,2.4),IF(D24=2,2.5,IF(D24=3,3,IF(D24=4,3.3,))))</f>
        <v>0</v>
      </c>
      <c r="E27" s="180"/>
      <c r="F27" s="181"/>
      <c r="H27" s="395" t="str">
        <f>Sprache!B433</f>
        <v>Zu deckender Bedarf  für Warmwasser</v>
      </c>
      <c r="I27" s="396">
        <f>EBF*Qwww/3.6</f>
        <v>0</v>
      </c>
      <c r="J27" s="396">
        <f>EBF*Qwww/3.6</f>
        <v>0</v>
      </c>
      <c r="K27" s="397" t="s">
        <v>22</v>
      </c>
      <c r="R27" s="232">
        <f>IF(R26&gt;1,R26,Input!C94)</f>
        <v>0</v>
      </c>
      <c r="T27" s="232">
        <f>IF(T26&gt;1,T26,Input!C102)</f>
        <v>0</v>
      </c>
    </row>
    <row r="28" spans="1:21" ht="15.75" customHeight="1">
      <c r="A28" s="164"/>
      <c r="B28" s="182" t="str">
        <f>Sprache!B475</f>
        <v>Jahresarbeitszahl Heizung  (z.B. aus WPesti, Feld H58)</v>
      </c>
      <c r="C28" s="387">
        <f>Input!C169</f>
        <v>0</v>
      </c>
      <c r="D28" s="387">
        <f>Input!C173</f>
        <v>0</v>
      </c>
      <c r="E28" s="180"/>
      <c r="F28" s="181"/>
      <c r="H28" s="398"/>
      <c r="I28" s="399">
        <f>IF(OR(C25=3,C25=4),I27,0)</f>
        <v>0</v>
      </c>
      <c r="J28" s="399">
        <f>IF(OR(D25=3,D25=4),J27,0)</f>
        <v>0</v>
      </c>
      <c r="K28" s="397" t="s">
        <v>22</v>
      </c>
      <c r="Q28" s="250" t="s">
        <v>968</v>
      </c>
      <c r="R28" s="386">
        <f>Input!C95</f>
        <v>0</v>
      </c>
      <c r="S28" s="250" t="s">
        <v>965</v>
      </c>
      <c r="T28" s="386">
        <f>Input!C103</f>
        <v>0</v>
      </c>
      <c r="U28" s="243" t="s">
        <v>483</v>
      </c>
    </row>
    <row r="29" spans="1:21" ht="15.75" customHeight="1">
      <c r="A29" s="164"/>
      <c r="B29" s="182" t="str">
        <f>Sprache!B476</f>
        <v>Deckungsgrad Heizung (z.B. aus WPesti, Feld F58)</v>
      </c>
      <c r="C29" s="413">
        <f>Input!C171</f>
        <v>0</v>
      </c>
      <c r="D29" s="413">
        <f>Input!C175</f>
        <v>0</v>
      </c>
      <c r="E29" s="180"/>
      <c r="F29" s="181"/>
      <c r="H29" s="398" t="s">
        <v>969</v>
      </c>
      <c r="I29" s="401">
        <f>IF((I26*C29+I28*C31)&gt;0,(C29*I26*IF(C28,C28,C27)+C31*I28*IF(C30,C30,C27))/(I26*C29+I28*C31),0)</f>
        <v>0</v>
      </c>
      <c r="J29" s="401">
        <f>IF((J26*D29+J28*D31)&gt;0,(D29*J26*IF(D28,D28,D27)+D31*J28*IF(D30,D30,D27))/(J26*D29+J28*D31),0)</f>
        <v>0</v>
      </c>
      <c r="K29" s="398"/>
      <c r="R29" s="232">
        <f>IF(R28&gt;1,R28,Input!C95)</f>
        <v>0</v>
      </c>
      <c r="T29" s="232">
        <f>IF(T28&gt;1,T28,Input!C103)</f>
        <v>0</v>
      </c>
      <c r="U29" s="225"/>
    </row>
    <row r="30" spans="1:21" ht="15.75" customHeight="1">
      <c r="A30" s="164"/>
      <c r="B30" s="182" t="str">
        <f>Sprache!B477</f>
        <v>Jahresarbeitszahl Warmwasser (z.B. aus WPesti, Feld H59)</v>
      </c>
      <c r="C30" s="387">
        <f>Input!C170</f>
        <v>0</v>
      </c>
      <c r="D30" s="387">
        <f>Input!C174</f>
        <v>0</v>
      </c>
      <c r="E30" s="180"/>
      <c r="F30" s="181"/>
      <c r="H30" s="398"/>
      <c r="I30" s="403">
        <f>IF(I29,I29,C27)</f>
        <v>0</v>
      </c>
      <c r="J30" s="403">
        <f>IF(J29,J29,D27)</f>
        <v>0</v>
      </c>
      <c r="K30" s="398"/>
      <c r="U30" s="225" t="str">
        <f>Sprache!B466</f>
        <v>Nur Sommerbetrieb</v>
      </c>
    </row>
    <row r="31" spans="1:21" ht="15.75" customHeight="1">
      <c r="A31" s="164"/>
      <c r="B31" s="182" t="str">
        <f>Sprache!B478</f>
        <v>Deckungsgrad Warmwasser (z.B. aus WPesti, Feld F59)</v>
      </c>
      <c r="C31" s="413">
        <f>Input!C172</f>
        <v>0</v>
      </c>
      <c r="D31" s="413">
        <f>Input!C176</f>
        <v>0</v>
      </c>
      <c r="F31" s="181"/>
      <c r="H31" s="398" t="s">
        <v>970</v>
      </c>
      <c r="I31" s="404" t="e">
        <f>IF(AND(C29="",C31=""),IF(C34&gt;0,C36/C34,0),(I26*C29+I28*C31)/(I25+I27))</f>
        <v>#DIV/0!</v>
      </c>
      <c r="J31" s="404" t="e">
        <f>IF(AND(D29="",D31=""),IF(D34&gt;0,D36/D34,0),(J26*D29+J28*D31)/(J25+J27))</f>
        <v>#DIV/0!</v>
      </c>
      <c r="K31" s="398"/>
      <c r="U31" s="225" t="str">
        <f>Sprache!B467</f>
        <v>Ganzjahres-Betrieb</v>
      </c>
    </row>
    <row r="32" spans="1:21" ht="15.75" customHeight="1" hidden="1">
      <c r="A32" s="164"/>
      <c r="B32" s="182"/>
      <c r="C32" s="409"/>
      <c r="D32" s="409"/>
      <c r="E32" s="183"/>
      <c r="F32" s="184"/>
      <c r="U32" s="42"/>
    </row>
    <row r="33" spans="1:6" ht="15.75" customHeight="1" hidden="1">
      <c r="A33" s="164"/>
      <c r="B33" s="182"/>
      <c r="C33" s="410"/>
      <c r="D33" s="410"/>
      <c r="E33" s="183"/>
      <c r="F33" s="184"/>
    </row>
    <row r="34" spans="1:8" ht="15.75" customHeight="1">
      <c r="A34" s="164"/>
      <c r="B34" s="182" t="str">
        <f>Sprache!B434</f>
        <v>Zu deckender Bedarf (Heizung und Warmwasser)</v>
      </c>
      <c r="C34" s="196">
        <f>I25+I27</f>
        <v>0</v>
      </c>
      <c r="D34" s="196">
        <f>J25+J27</f>
        <v>0</v>
      </c>
      <c r="E34" s="193"/>
      <c r="F34" s="197" t="s">
        <v>22</v>
      </c>
      <c r="H34" s="33">
        <f>Sprache!B429</f>
        <v>0</v>
      </c>
    </row>
    <row r="35" spans="1:6" ht="15.75" customHeight="1">
      <c r="A35" s="164"/>
      <c r="B35" s="182" t="str">
        <f>Sprache!B435</f>
        <v>Wärmeproduktion der WP:</v>
      </c>
      <c r="C35" s="196">
        <f>C29*I26+C31*I28</f>
        <v>0</v>
      </c>
      <c r="D35" s="196">
        <f>D29*J26+D31*J28</f>
        <v>0</v>
      </c>
      <c r="E35" s="193"/>
      <c r="F35" s="197" t="s">
        <v>22</v>
      </c>
    </row>
    <row r="36" spans="1:8" ht="15.75" customHeight="1">
      <c r="A36" s="164"/>
      <c r="B36" s="182" t="str">
        <f>Sprache!B436</f>
        <v>Wärme-Beitrag der WP an Heizung und Warmwasser</v>
      </c>
      <c r="C36" s="196">
        <f>IF(C25=3,IF(C26=2,IF(C35&lt;0.5*I27,C35,0.5*I27),IF(C35&lt;I27,C35,I27)),IF(C25=2,IF(C35&lt;I25,C35,I25),IF(C25=4,IF(C35&lt;C34,C35,C34),)))</f>
        <v>0</v>
      </c>
      <c r="D36" s="196">
        <f>MIN(IF(D25=3,IF(D26=2,IF(D35&lt;0.5*J27,D35,0.5*J27),IF(D35&lt;J27,D35,J27)),IF(D25=2,IF(D35&lt;J25,D35,J25),IF(D25=4,IF(D35&lt;D34,D35,D34),))),C34-C36)</f>
        <v>0</v>
      </c>
      <c r="E36" s="193"/>
      <c r="F36" s="197" t="s">
        <v>22</v>
      </c>
      <c r="H36" s="33">
        <f>Sprache!B428</f>
        <v>0</v>
      </c>
    </row>
    <row r="37" spans="1:6" ht="15.75" customHeight="1">
      <c r="A37" s="164"/>
      <c r="B37" s="182" t="str">
        <f>Sprache!B437</f>
        <v>Anteil der durch die Wärmepumpe gedeckt wird:</v>
      </c>
      <c r="C37" s="402">
        <f>IF(C34&gt;0,MIN(C36/C34,I31),)</f>
        <v>0</v>
      </c>
      <c r="D37" s="402">
        <f>IF(D34&gt;0,MIN(J31,D36/D34),)</f>
        <v>0</v>
      </c>
      <c r="E37" s="193"/>
      <c r="F37" s="197"/>
    </row>
    <row r="38" spans="1:6" ht="15.75" customHeight="1">
      <c r="A38" s="164"/>
      <c r="B38" s="188" t="str">
        <f>Sprache!B438</f>
        <v>Strombedarf der WP</v>
      </c>
      <c r="C38" s="189">
        <f>IF(I30&gt;0,C34*C37/I30,0)</f>
        <v>0</v>
      </c>
      <c r="D38" s="189">
        <f>IF(J30&gt;0,D34*D37/J30,0)</f>
        <v>0</v>
      </c>
      <c r="E38" s="190"/>
      <c r="F38" s="191" t="s">
        <v>22</v>
      </c>
    </row>
    <row r="39" spans="1:6" ht="5.25" customHeight="1">
      <c r="A39" s="164"/>
      <c r="B39" s="192"/>
      <c r="C39" s="198"/>
      <c r="D39" s="198"/>
      <c r="E39" s="194"/>
      <c r="F39" s="194"/>
    </row>
    <row r="40" spans="1:6" ht="12.75" customHeight="1" hidden="1">
      <c r="A40" s="164"/>
      <c r="B40" s="136"/>
      <c r="C40" s="136"/>
      <c r="D40" s="136"/>
      <c r="E40" s="136"/>
      <c r="F40" s="136"/>
    </row>
    <row r="41" spans="1:21" ht="15.75" customHeight="1">
      <c r="A41" s="164"/>
      <c r="B41" s="205" t="str">
        <f>Sprache!B439</f>
        <v>Holzheizungen</v>
      </c>
      <c r="C41" s="177" t="s">
        <v>1022</v>
      </c>
      <c r="D41" s="177" t="s">
        <v>1023</v>
      </c>
      <c r="E41" s="178"/>
      <c r="F41" s="161"/>
      <c r="U41" s="243" t="s">
        <v>1058</v>
      </c>
    </row>
    <row r="42" spans="1:21" ht="15.75" customHeight="1">
      <c r="A42" s="164"/>
      <c r="B42" s="179" t="str">
        <f>Sprache!B440</f>
        <v>Anlage (Bezeichnung):</v>
      </c>
      <c r="C42" s="59">
        <f>Input!C108</f>
        <v>0</v>
      </c>
      <c r="D42" s="59">
        <f>Input!C112</f>
        <v>0</v>
      </c>
      <c r="E42" s="180"/>
      <c r="F42" s="181"/>
      <c r="U42" s="225"/>
    </row>
    <row r="43" spans="1:21" ht="15.75" customHeight="1">
      <c r="A43" s="164"/>
      <c r="B43" s="182" t="str">
        <f>Sprache!B441</f>
        <v>Sind Speicher+Holzlager vorhanden?</v>
      </c>
      <c r="C43" s="59">
        <f>S44</f>
        <v>0</v>
      </c>
      <c r="D43" s="59">
        <f>T44</f>
        <v>0</v>
      </c>
      <c r="E43" s="183"/>
      <c r="F43" s="184"/>
      <c r="S43" s="152">
        <f>Input!C109</f>
        <v>0</v>
      </c>
      <c r="T43" s="152">
        <f>Input!C113</f>
        <v>0</v>
      </c>
      <c r="U43" s="225" t="str">
        <f>Sprache!B468</f>
        <v>vorhanden</v>
      </c>
    </row>
    <row r="44" spans="1:21" ht="15.75" customHeight="1">
      <c r="A44" s="164"/>
      <c r="B44" s="182" t="str">
        <f>Sprache!B442</f>
        <v>Produktion der Holzheizung:</v>
      </c>
      <c r="C44" s="187">
        <f>Input!C110</f>
        <v>0</v>
      </c>
      <c r="D44" s="187">
        <f>Input!C114</f>
        <v>0</v>
      </c>
      <c r="E44" s="183"/>
      <c r="F44" s="184" t="s">
        <v>22</v>
      </c>
      <c r="S44" s="33">
        <f>IF(S43&gt;1,S43,Input!C109)</f>
        <v>0</v>
      </c>
      <c r="T44" s="33">
        <f>IF(T43&gt;1,T43,Input!C113)</f>
        <v>0</v>
      </c>
      <c r="U44" s="225" t="str">
        <f>Sprache!B469</f>
        <v>nicht vorhanden</v>
      </c>
    </row>
    <row r="45" spans="1:21" ht="15.75" customHeight="1">
      <c r="A45" s="164"/>
      <c r="B45" s="182" t="str">
        <f>Sprache!B443</f>
        <v>Zu deckender Bedarf (Heizung und Warmwasser)</v>
      </c>
      <c r="C45" s="186">
        <f>EBF*(Qh+Qwww)/3.6</f>
        <v>0</v>
      </c>
      <c r="D45" s="186">
        <f>EBF*(Qh+Qwww)/3.6</f>
        <v>0</v>
      </c>
      <c r="E45" s="183"/>
      <c r="F45" s="184" t="s">
        <v>22</v>
      </c>
      <c r="U45" s="42"/>
    </row>
    <row r="46" spans="1:6" ht="15.75" customHeight="1">
      <c r="A46" s="164"/>
      <c r="B46" s="188" t="str">
        <f>Sprache!B444</f>
        <v>Nettobeitrag der Holzheizung</v>
      </c>
      <c r="C46" s="189">
        <f>IF(C43=2,IF(C44&lt;C45,C44,C45),0)</f>
        <v>0</v>
      </c>
      <c r="D46" s="189">
        <f>IF(D43=2,IF(D44&lt;D45,D44,D45),0)</f>
        <v>0</v>
      </c>
      <c r="E46" s="190"/>
      <c r="F46" s="191" t="s">
        <v>22</v>
      </c>
    </row>
    <row r="47" spans="1:6" ht="5.25" customHeight="1">
      <c r="A47" s="164"/>
      <c r="B47" s="192"/>
      <c r="C47" s="193"/>
      <c r="D47" s="193"/>
      <c r="E47" s="194"/>
      <c r="F47" s="194"/>
    </row>
    <row r="48" spans="1:6" ht="12.75" customHeight="1" hidden="1">
      <c r="A48" s="164"/>
      <c r="B48" s="136"/>
      <c r="C48" s="136"/>
      <c r="D48" s="136"/>
      <c r="E48" s="136"/>
      <c r="F48" s="136"/>
    </row>
    <row r="49" spans="1:6" ht="15.75" customHeight="1">
      <c r="A49" s="164"/>
      <c r="B49" s="205" t="str">
        <f>Sprache!B445</f>
        <v>Abwärmenutzung</v>
      </c>
      <c r="C49" s="177" t="s">
        <v>1022</v>
      </c>
      <c r="D49" s="177" t="s">
        <v>1023</v>
      </c>
      <c r="E49" s="178"/>
      <c r="F49" s="161"/>
    </row>
    <row r="50" spans="1:6" ht="15.75" customHeight="1">
      <c r="A50" s="164"/>
      <c r="B50" s="179" t="str">
        <f>Sprache!B446</f>
        <v>Anlage (Bezeichnung):</v>
      </c>
      <c r="C50" s="59">
        <f>Input!C116</f>
        <v>0</v>
      </c>
      <c r="D50" s="59">
        <f>Input!C120</f>
        <v>0</v>
      </c>
      <c r="E50" s="180"/>
      <c r="F50" s="181"/>
    </row>
    <row r="51" spans="1:6" ht="15.75" customHeight="1">
      <c r="A51" s="164"/>
      <c r="B51" s="182" t="str">
        <f>Sprache!B447</f>
        <v>Wärmeproduktion der Abwärmenutzung:</v>
      </c>
      <c r="C51" s="187">
        <f>Input!C117</f>
        <v>0</v>
      </c>
      <c r="D51" s="187">
        <f>Input!C121</f>
        <v>0</v>
      </c>
      <c r="E51" s="183"/>
      <c r="F51" s="184" t="s">
        <v>22</v>
      </c>
    </row>
    <row r="52" spans="1:6" ht="15.75" customHeight="1">
      <c r="A52" s="164"/>
      <c r="B52" s="182" t="str">
        <f>Sprache!B448</f>
        <v>Stromaufwand der Abwärmenutzung:</v>
      </c>
      <c r="C52" s="187">
        <f>Input!C118</f>
        <v>0</v>
      </c>
      <c r="D52" s="187">
        <f>Input!C122</f>
        <v>0</v>
      </c>
      <c r="E52" s="183"/>
      <c r="F52" s="184" t="s">
        <v>22</v>
      </c>
    </row>
    <row r="53" spans="1:6" ht="15.75" customHeight="1">
      <c r="A53" s="164"/>
      <c r="B53" s="182" t="str">
        <f>Sprache!B449</f>
        <v>Zu deckender Bedarf (Heizung und Warmwasser)</v>
      </c>
      <c r="C53" s="186">
        <f>EBF*(Qh+Qwww)/3.6</f>
        <v>0</v>
      </c>
      <c r="D53" s="186">
        <f>EBF*(Qh+Qwww)/3.6</f>
        <v>0</v>
      </c>
      <c r="E53" s="183"/>
      <c r="F53" s="184" t="s">
        <v>22</v>
      </c>
    </row>
    <row r="54" spans="1:6" ht="15.75" customHeight="1">
      <c r="A54" s="164"/>
      <c r="B54" s="188" t="str">
        <f>Sprache!B450</f>
        <v>Wärme-Beitrag der Abwärmenutzung</v>
      </c>
      <c r="C54" s="189">
        <f>IF(C51&lt;C53,C51,C53)</f>
        <v>0</v>
      </c>
      <c r="D54" s="189">
        <f>IF(D51&lt;D53,D51,D53)</f>
        <v>0</v>
      </c>
      <c r="E54" s="190"/>
      <c r="F54" s="191" t="s">
        <v>22</v>
      </c>
    </row>
    <row r="55" spans="1:6" ht="3" customHeight="1">
      <c r="A55" s="164"/>
      <c r="B55" s="136"/>
      <c r="C55" s="136"/>
      <c r="D55" s="136"/>
      <c r="E55" s="136"/>
      <c r="F55" s="136"/>
    </row>
    <row r="56" spans="1:6" ht="15.75" customHeight="1">
      <c r="A56" s="164"/>
      <c r="B56" s="205" t="str">
        <f>Sprache!B451</f>
        <v>Andere erneuerbare Energien</v>
      </c>
      <c r="C56" s="177" t="s">
        <v>1022</v>
      </c>
      <c r="D56" s="177" t="s">
        <v>1023</v>
      </c>
      <c r="E56" s="178"/>
      <c r="F56" s="161"/>
    </row>
    <row r="57" spans="1:21" ht="15.75" customHeight="1">
      <c r="A57" s="164"/>
      <c r="B57" s="179" t="str">
        <f>Sprache!B452</f>
        <v>Anlage (Bezeichnung):</v>
      </c>
      <c r="C57" s="59">
        <f>Input!C124</f>
        <v>0</v>
      </c>
      <c r="D57" s="59">
        <f>Input!C130</f>
        <v>0</v>
      </c>
      <c r="E57" s="180"/>
      <c r="F57" s="181"/>
      <c r="U57" s="243" t="s">
        <v>486</v>
      </c>
    </row>
    <row r="58" spans="1:21" ht="15.75" customHeight="1">
      <c r="A58" s="164"/>
      <c r="B58" s="182" t="str">
        <f>Sprache!B453</f>
        <v>Wärmeproduktion der Anlage:</v>
      </c>
      <c r="C58" s="187">
        <f>Input!C125</f>
        <v>0</v>
      </c>
      <c r="D58" s="187">
        <f>Input!C131</f>
        <v>0</v>
      </c>
      <c r="E58" s="183"/>
      <c r="F58" s="184" t="s">
        <v>22</v>
      </c>
      <c r="U58" s="225"/>
    </row>
    <row r="59" spans="1:21" ht="15.75" customHeight="1">
      <c r="A59" s="164"/>
      <c r="B59" s="182" t="str">
        <f>Sprache!B454</f>
        <v>Stromproduktion der Anlage:</v>
      </c>
      <c r="C59" s="187">
        <f>Input!C126</f>
        <v>0</v>
      </c>
      <c r="D59" s="187">
        <f>Input!C132</f>
        <v>0</v>
      </c>
      <c r="E59" s="183"/>
      <c r="F59" s="184" t="s">
        <v>22</v>
      </c>
      <c r="U59" s="225" t="str">
        <f>Sprache!B470</f>
        <v>keine Zusatzenergie</v>
      </c>
    </row>
    <row r="60" spans="1:21" ht="15.75" customHeight="1">
      <c r="A60" s="164"/>
      <c r="B60" s="182" t="str">
        <f>Sprache!B455</f>
        <v>Stromaufwand für diese Energieproduktion:</v>
      </c>
      <c r="C60" s="187">
        <f>Input!C127</f>
        <v>0</v>
      </c>
      <c r="D60" s="187">
        <f>Input!C133</f>
        <v>0</v>
      </c>
      <c r="E60" s="183"/>
      <c r="F60" s="184" t="s">
        <v>22</v>
      </c>
      <c r="U60" s="225" t="str">
        <f>Sprache!B471</f>
        <v>Zusatzenergie nötig</v>
      </c>
    </row>
    <row r="61" spans="1:21" ht="15.75" customHeight="1">
      <c r="A61" s="164"/>
      <c r="B61" s="339" t="str">
        <f>Sprache!B456</f>
        <v>Voll-Betriebsstunden bezogen auf mittl. Leistung:</v>
      </c>
      <c r="C61" s="59">
        <f>S62</f>
        <v>0</v>
      </c>
      <c r="D61" s="59">
        <f>T62</f>
        <v>0</v>
      </c>
      <c r="E61" s="183"/>
      <c r="F61" s="184"/>
      <c r="S61" s="152">
        <f>Input!C128</f>
        <v>0</v>
      </c>
      <c r="T61" s="152">
        <f>Input!C134</f>
        <v>0</v>
      </c>
      <c r="U61" s="42"/>
    </row>
    <row r="62" spans="1:20" ht="15.75" customHeight="1">
      <c r="A62" s="164"/>
      <c r="B62" s="182" t="str">
        <f>Sprache!B457</f>
        <v>Zu deckender Bedarf (Heizung und Warmwasser)</v>
      </c>
      <c r="C62" s="186">
        <f>EBF*(Qh+Qwww)/3.6</f>
        <v>0</v>
      </c>
      <c r="D62" s="186">
        <f>EBF*(Qh+Qwww)/3.6</f>
        <v>0</v>
      </c>
      <c r="E62" s="183"/>
      <c r="F62" s="184" t="s">
        <v>22</v>
      </c>
      <c r="S62" s="33">
        <f>IF(S61&gt;1,S61,Input!C128)</f>
        <v>0</v>
      </c>
      <c r="T62" s="33">
        <f>IF(T61&gt;1,T61,Input!C134)</f>
        <v>0</v>
      </c>
    </row>
    <row r="63" spans="1:6" ht="15.75" customHeight="1">
      <c r="A63" s="164"/>
      <c r="B63" s="182" t="str">
        <f>Sprache!B458</f>
        <v>Wärme-Beitrag der anderen erneuerbaren Energien</v>
      </c>
      <c r="C63" s="186">
        <f>IF(C61=2,IF(C58&lt;C62,C58,C62),0)</f>
        <v>0</v>
      </c>
      <c r="D63" s="186">
        <f>IF(D61=2,IF(D58&lt;D62,D58,D62),0)</f>
        <v>0</v>
      </c>
      <c r="E63" s="199"/>
      <c r="F63" s="200" t="s">
        <v>22</v>
      </c>
    </row>
    <row r="64" spans="1:6" ht="15.75" customHeight="1">
      <c r="A64" s="164"/>
      <c r="B64" s="188" t="str">
        <f>Sprache!B459</f>
        <v>Strom-Beitrag der anderen erneuerbaren Energien</v>
      </c>
      <c r="C64" s="201">
        <f>IF(C61=2,C59-C60,0)</f>
        <v>0</v>
      </c>
      <c r="D64" s="201">
        <f>IF(D61=2,D59-D60,0)</f>
        <v>0</v>
      </c>
      <c r="E64" s="202"/>
      <c r="F64" s="203" t="s">
        <v>22</v>
      </c>
    </row>
    <row r="65" spans="1:6" ht="12.75" customHeight="1">
      <c r="A65" s="164"/>
      <c r="B65" s="136"/>
      <c r="C65" s="136"/>
      <c r="D65" s="136"/>
      <c r="E65" s="136"/>
      <c r="F65" s="136"/>
    </row>
  </sheetData>
  <sheetProtection password="D2AA" sheet="1" objects="1" scenarios="1"/>
  <printOptions/>
  <pageMargins left="0.58" right="0.5118110236220472" top="0.33" bottom="0.52" header="0.33" footer="0.26"/>
  <pageSetup fitToHeight="1" fitToWidth="1" horizontalDpi="300" verticalDpi="300" orientation="portrait" paperSize="9" scale="96" r:id="rId2"/>
  <headerFooter alignWithMargins="0">
    <oddFooter>&amp;R&amp;8&amp;D &amp;T / &amp;F, &amp;A</oddFooter>
  </headerFooter>
  <rowBreaks count="1" manualBreakCount="1">
    <brk id="46" max="65535" man="1"/>
  </rowBreaks>
  <legacyDrawing r:id="rId1"/>
</worksheet>
</file>

<file path=xl/worksheets/sheet6.xml><?xml version="1.0" encoding="utf-8"?>
<worksheet xmlns="http://schemas.openxmlformats.org/spreadsheetml/2006/main" xmlns:r="http://schemas.openxmlformats.org/officeDocument/2006/relationships">
  <dimension ref="A1:N17"/>
  <sheetViews>
    <sheetView zoomScalePageLayoutView="0" workbookViewId="0" topLeftCell="A1">
      <selection activeCell="A16" sqref="A16"/>
    </sheetView>
  </sheetViews>
  <sheetFormatPr defaultColWidth="11.421875" defaultRowHeight="12.75"/>
  <cols>
    <col min="1" max="1" width="9.8515625" style="0" customWidth="1"/>
    <col min="2" max="2" width="6.421875" style="0" customWidth="1"/>
    <col min="4" max="7" width="6.7109375" style="0" customWidth="1"/>
    <col min="8" max="9" width="2.7109375" style="0" customWidth="1"/>
    <col min="10" max="13" width="6.7109375" style="0" customWidth="1"/>
    <col min="14" max="14" width="21.28125" style="0" customWidth="1"/>
  </cols>
  <sheetData>
    <row r="1" spans="1:14" ht="12.75">
      <c r="A1" s="15" t="str">
        <f>Sprache!B562</f>
        <v>Datenzusammenstellung für die Grafik. </v>
      </c>
      <c r="B1" s="15"/>
      <c r="C1" s="15"/>
      <c r="D1" s="15"/>
      <c r="E1" s="15"/>
      <c r="F1" s="15"/>
      <c r="G1" s="15"/>
      <c r="H1" s="15"/>
      <c r="I1" s="15"/>
      <c r="J1" s="15"/>
      <c r="K1" s="15"/>
      <c r="L1" s="15"/>
      <c r="M1" s="15"/>
      <c r="N1" s="15"/>
    </row>
    <row r="2" spans="1:14" ht="12.75">
      <c r="A2" s="15" t="str">
        <f>Sprache!B563</f>
        <v>Um die Grafik nachvollziehen zu können, wurde diese Zahlenliste nicht versteckt.</v>
      </c>
      <c r="B2" s="15"/>
      <c r="C2" s="15"/>
      <c r="D2" s="15"/>
      <c r="E2" s="15"/>
      <c r="F2" s="15"/>
      <c r="G2" s="15"/>
      <c r="H2" s="15"/>
      <c r="I2" s="15"/>
      <c r="J2" s="15"/>
      <c r="K2" s="15"/>
      <c r="L2" s="15"/>
      <c r="M2" s="15"/>
      <c r="N2" s="15"/>
    </row>
    <row r="3" spans="1:14" ht="12.75">
      <c r="A3" s="15"/>
      <c r="B3" s="15"/>
      <c r="C3" s="15"/>
      <c r="D3" s="15"/>
      <c r="E3" s="15"/>
      <c r="F3" s="15"/>
      <c r="G3" s="15"/>
      <c r="H3" s="15"/>
      <c r="I3" s="15"/>
      <c r="J3" s="15"/>
      <c r="K3" s="15"/>
      <c r="L3" s="15"/>
      <c r="M3" s="15"/>
      <c r="N3" s="15"/>
    </row>
    <row r="4" spans="1:14" ht="12.75">
      <c r="A4" s="15"/>
      <c r="B4" s="15"/>
      <c r="C4" s="15"/>
      <c r="D4" s="15" t="str">
        <f>Sprache!B554</f>
        <v>zulässiger Energiebedarf</v>
      </c>
      <c r="E4" s="15"/>
      <c r="F4" s="15" t="str">
        <f>Sprache!B555</f>
        <v>Höchstanteil nichterneuerbare Energien</v>
      </c>
      <c r="G4" s="15"/>
      <c r="H4" s="15"/>
      <c r="I4" s="15"/>
      <c r="J4" s="15" t="str">
        <f>Sprache!B556</f>
        <v>Deckung mit nichterneuerbaren Energien</v>
      </c>
      <c r="K4" s="15"/>
      <c r="L4" s="15"/>
      <c r="M4" s="15" t="str">
        <f>Sprache!B557</f>
        <v>gewichteter Energiebedarf</v>
      </c>
      <c r="N4" s="15"/>
    </row>
    <row r="5" spans="1:14" ht="12.75">
      <c r="A5" s="15" t="str">
        <f>Sprache!B564</f>
        <v>Leer</v>
      </c>
      <c r="B5" s="15"/>
      <c r="C5" s="15"/>
      <c r="D5" s="15"/>
      <c r="E5" s="15"/>
      <c r="F5" s="15"/>
      <c r="G5" s="15">
        <f>F8</f>
        <v>0</v>
      </c>
      <c r="H5" s="15"/>
      <c r="I5" s="15"/>
      <c r="J5" s="15"/>
      <c r="K5" s="15">
        <f>J14</f>
        <v>0</v>
      </c>
      <c r="L5" s="15"/>
      <c r="M5" s="15"/>
      <c r="N5" s="15"/>
    </row>
    <row r="6" spans="1:14" ht="12.75">
      <c r="A6" s="15" t="s">
        <v>5</v>
      </c>
      <c r="B6" s="15">
        <f>Rechengang!J18</f>
        <v>0</v>
      </c>
      <c r="C6" s="15" t="s">
        <v>663</v>
      </c>
      <c r="D6" s="15">
        <f>B6</f>
        <v>0</v>
      </c>
      <c r="E6" s="15"/>
      <c r="F6" s="15"/>
      <c r="G6" s="15"/>
      <c r="H6" s="15"/>
      <c r="I6" s="15"/>
      <c r="J6" s="15"/>
      <c r="K6" s="15"/>
      <c r="L6" s="15"/>
      <c r="M6" s="15"/>
      <c r="N6" s="15"/>
    </row>
    <row r="7" spans="1:14" ht="12.75">
      <c r="A7" s="15" t="s">
        <v>7</v>
      </c>
      <c r="B7" s="15">
        <f>Rechengang!J19</f>
        <v>0</v>
      </c>
      <c r="C7" s="15" t="s">
        <v>7</v>
      </c>
      <c r="D7" s="15">
        <f>B7</f>
        <v>0</v>
      </c>
      <c r="E7" s="15"/>
      <c r="F7" s="15"/>
      <c r="G7" s="15"/>
      <c r="H7" s="15"/>
      <c r="I7" s="15"/>
      <c r="J7" s="15"/>
      <c r="K7" s="15"/>
      <c r="L7" s="15"/>
      <c r="M7" s="15"/>
      <c r="N7" s="15"/>
    </row>
    <row r="8" spans="1:14" ht="12.75">
      <c r="A8" s="15" t="s">
        <v>407</v>
      </c>
      <c r="B8" s="15">
        <f>Rechengang!J26</f>
        <v>0</v>
      </c>
      <c r="C8" s="15" t="str">
        <f>Sprache!B558</f>
        <v>Höchstanteil</v>
      </c>
      <c r="D8" s="15"/>
      <c r="E8" s="15"/>
      <c r="F8" s="15">
        <f>B8*0.8</f>
        <v>0</v>
      </c>
      <c r="G8" s="15"/>
      <c r="H8" s="15"/>
      <c r="I8" s="15"/>
      <c r="J8" s="15"/>
      <c r="K8" s="15"/>
      <c r="L8" s="15"/>
      <c r="M8" s="15"/>
      <c r="N8" s="15"/>
    </row>
    <row r="9" spans="1:14" ht="12.75">
      <c r="A9" s="15" t="s">
        <v>409</v>
      </c>
      <c r="B9" s="15"/>
      <c r="C9" s="25" t="str">
        <f>"20%"</f>
        <v>20%</v>
      </c>
      <c r="D9" s="15"/>
      <c r="E9" s="15"/>
      <c r="F9" s="15"/>
      <c r="G9" s="15">
        <f>0.2*B8</f>
        <v>0</v>
      </c>
      <c r="H9" s="15"/>
      <c r="I9" s="15"/>
      <c r="J9" s="15"/>
      <c r="K9" s="15"/>
      <c r="L9" s="15"/>
      <c r="M9" s="15"/>
      <c r="N9" s="15"/>
    </row>
    <row r="10" spans="1:14" ht="12.75">
      <c r="A10" s="15"/>
      <c r="B10" s="15"/>
      <c r="C10" s="15"/>
      <c r="D10" s="15"/>
      <c r="E10" s="15"/>
      <c r="F10" s="15"/>
      <c r="G10" s="15"/>
      <c r="H10" s="15"/>
      <c r="I10" s="15"/>
      <c r="J10" s="15"/>
      <c r="K10" s="15"/>
      <c r="L10" s="15"/>
      <c r="M10" s="15"/>
      <c r="N10" s="15"/>
    </row>
    <row r="11" spans="1:14" ht="12.75">
      <c r="A11" s="15" t="s">
        <v>4</v>
      </c>
      <c r="B11" s="15">
        <f>Rechengang!J30</f>
        <v>0</v>
      </c>
      <c r="C11" s="15" t="s">
        <v>4</v>
      </c>
      <c r="D11" s="15"/>
      <c r="E11" s="15"/>
      <c r="F11" s="15"/>
      <c r="G11" s="15"/>
      <c r="H11" s="15"/>
      <c r="I11" s="15"/>
      <c r="J11" s="15"/>
      <c r="K11" s="15"/>
      <c r="L11" s="15"/>
      <c r="M11" s="15">
        <f>B11</f>
        <v>0</v>
      </c>
      <c r="N11" s="15"/>
    </row>
    <row r="12" spans="1:14" ht="12.75">
      <c r="A12" s="15" t="s">
        <v>7</v>
      </c>
      <c r="B12" s="15">
        <f>B7</f>
        <v>0</v>
      </c>
      <c r="C12" s="15" t="s">
        <v>7</v>
      </c>
      <c r="D12" s="15"/>
      <c r="E12" s="15"/>
      <c r="F12" s="15"/>
      <c r="G12" s="15"/>
      <c r="H12" s="15"/>
      <c r="I12" s="15"/>
      <c r="J12" s="15"/>
      <c r="K12" s="15"/>
      <c r="L12" s="15"/>
      <c r="M12" s="15">
        <f>B12</f>
        <v>0</v>
      </c>
      <c r="N12" s="15"/>
    </row>
    <row r="13" spans="1:14" ht="12.75">
      <c r="A13" s="15" t="s">
        <v>410</v>
      </c>
      <c r="B13" s="15">
        <f>Rechengang!J32</f>
        <v>0</v>
      </c>
      <c r="C13" s="15" t="str">
        <f>Sprache!B559</f>
        <v>mech. LA</v>
      </c>
      <c r="D13" s="15"/>
      <c r="E13" s="15"/>
      <c r="F13" s="15"/>
      <c r="G13" s="15"/>
      <c r="H13" s="15"/>
      <c r="I13" s="15"/>
      <c r="J13" s="15"/>
      <c r="K13" s="15"/>
      <c r="L13" s="15"/>
      <c r="M13" s="15">
        <f>B13</f>
        <v>0</v>
      </c>
      <c r="N13" s="15"/>
    </row>
    <row r="14" spans="1:14" ht="12.75">
      <c r="A14" s="15" t="s">
        <v>412</v>
      </c>
      <c r="B14" s="15"/>
      <c r="C14" s="15" t="str">
        <f>Sprache!B560</f>
        <v>Deckung</v>
      </c>
      <c r="D14" s="15"/>
      <c r="E14" s="15"/>
      <c r="F14" s="15"/>
      <c r="G14" s="15"/>
      <c r="H14" s="15"/>
      <c r="I14" s="15"/>
      <c r="J14" s="15">
        <f>M11+M12+M13-K15</f>
        <v>0</v>
      </c>
      <c r="K14" s="15"/>
      <c r="L14" s="15"/>
      <c r="M14" s="15"/>
      <c r="N14" s="15"/>
    </row>
    <row r="15" spans="1:14" ht="12.75">
      <c r="A15" s="15" t="s">
        <v>413</v>
      </c>
      <c r="B15" s="15">
        <f>Rechengang!J41</f>
        <v>0</v>
      </c>
      <c r="C15" s="15" t="str">
        <f>Sprache!B561</f>
        <v>ern.Energie</v>
      </c>
      <c r="D15" s="15"/>
      <c r="E15" s="15"/>
      <c r="F15" s="15"/>
      <c r="G15" s="15"/>
      <c r="H15" s="15"/>
      <c r="I15" s="15"/>
      <c r="J15" s="15"/>
      <c r="K15" s="15">
        <f>B15</f>
        <v>0</v>
      </c>
      <c r="L15" s="15"/>
      <c r="M15" s="15"/>
      <c r="N15" s="15"/>
    </row>
    <row r="16" spans="1:14" ht="12.75">
      <c r="A16" s="15" t="str">
        <f>Sprache!B565</f>
        <v>Linie</v>
      </c>
      <c r="B16" s="15"/>
      <c r="C16" s="15"/>
      <c r="D16" s="15">
        <f>B8</f>
        <v>0</v>
      </c>
      <c r="E16" s="15">
        <f>D16</f>
        <v>0</v>
      </c>
      <c r="F16" s="15">
        <f>E16</f>
        <v>0</v>
      </c>
      <c r="G16" s="15">
        <f>F16</f>
        <v>0</v>
      </c>
      <c r="H16" s="15"/>
      <c r="I16" s="15"/>
      <c r="J16" s="15">
        <f>K16</f>
        <v>0</v>
      </c>
      <c r="K16" s="15">
        <f>K15+J14</f>
        <v>0</v>
      </c>
      <c r="L16" s="15">
        <f>K16</f>
        <v>0</v>
      </c>
      <c r="M16" s="15">
        <f>L16</f>
        <v>0</v>
      </c>
      <c r="N16" s="15"/>
    </row>
    <row r="17" spans="1:14" ht="12.75">
      <c r="A17" s="15"/>
      <c r="B17" s="15"/>
      <c r="C17" s="15"/>
      <c r="D17" s="15"/>
      <c r="E17" s="15"/>
      <c r="F17" s="15"/>
      <c r="G17" s="15"/>
      <c r="H17" s="15"/>
      <c r="I17" s="15"/>
      <c r="J17" s="15"/>
      <c r="K17" s="15"/>
      <c r="L17" s="15"/>
      <c r="M17" s="15"/>
      <c r="N17" s="15"/>
    </row>
  </sheetData>
  <sheetProtection password="D2AA" sheet="1" objects="1" scenarios="1"/>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&amp;L&amp;8Rechnerischer Nachweis zu §10a EnG ZH&amp;R&amp;8&amp;D &amp;T / &amp;F,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showZeros="0" zoomScalePageLayoutView="0" workbookViewId="0" topLeftCell="A1">
      <selection activeCell="A1" sqref="A1"/>
    </sheetView>
  </sheetViews>
  <sheetFormatPr defaultColWidth="11.421875" defaultRowHeight="12.75"/>
  <cols>
    <col min="1" max="1" width="5.7109375" style="0" customWidth="1"/>
    <col min="2" max="2" width="1.7109375" style="0" customWidth="1"/>
    <col min="3" max="3" width="31.7109375" style="0" customWidth="1"/>
    <col min="4" max="4" width="9.7109375" style="0" customWidth="1"/>
    <col min="5" max="5" width="5.7109375" style="0" customWidth="1"/>
    <col min="6" max="6" width="1.7109375" style="0" customWidth="1"/>
    <col min="7" max="7" width="33.7109375" style="0" customWidth="1"/>
    <col min="8" max="8" width="1.28515625" style="0" customWidth="1"/>
    <col min="9" max="9" width="8.7109375" style="0" customWidth="1"/>
  </cols>
  <sheetData>
    <row r="1" spans="1:8" ht="12.75">
      <c r="A1" s="9"/>
      <c r="B1" s="9"/>
      <c r="C1" s="9"/>
      <c r="D1" s="9"/>
      <c r="E1" s="13" t="str">
        <f>Erneuerbar!D1</f>
        <v>Beilage / Seite:</v>
      </c>
      <c r="F1" s="13"/>
      <c r="G1" s="14"/>
      <c r="H1" s="9"/>
    </row>
    <row r="2" spans="1:8" ht="15.75">
      <c r="A2" s="8" t="str">
        <f>Sprache!B537</f>
        <v>Projekt:</v>
      </c>
      <c r="B2" s="9"/>
      <c r="C2" s="9"/>
      <c r="D2" s="9"/>
      <c r="E2" s="9"/>
      <c r="F2" s="9"/>
      <c r="G2" s="245" t="str">
        <f>Rechengang!J2</f>
        <v>RechNach.xls / Version 7.0</v>
      </c>
      <c r="H2" s="9"/>
    </row>
    <row r="3" spans="1:8" ht="12.75">
      <c r="A3" s="10">
        <f>Projekt1</f>
        <v>0</v>
      </c>
      <c r="B3" s="2"/>
      <c r="C3" s="2"/>
      <c r="D3" s="2"/>
      <c r="E3" s="2"/>
      <c r="F3" s="2"/>
      <c r="G3" s="2"/>
      <c r="H3" s="3"/>
    </row>
    <row r="4" spans="1:8" ht="12.75">
      <c r="A4" s="11">
        <f>Projekt2</f>
        <v>0</v>
      </c>
      <c r="B4" s="4"/>
      <c r="C4" s="4"/>
      <c r="D4" s="4"/>
      <c r="E4" s="4"/>
      <c r="F4" s="4"/>
      <c r="G4" s="4"/>
      <c r="H4" s="5"/>
    </row>
    <row r="5" spans="1:8" ht="12.75">
      <c r="A5" s="12">
        <f>Projekt3</f>
        <v>0</v>
      </c>
      <c r="B5" s="6"/>
      <c r="C5" s="6"/>
      <c r="D5" s="6"/>
      <c r="E5" s="6"/>
      <c r="F5" s="6"/>
      <c r="G5" s="6"/>
      <c r="H5" s="7"/>
    </row>
    <row r="6" spans="1:8" ht="12.75">
      <c r="A6" s="9"/>
      <c r="B6" s="9"/>
      <c r="C6" s="9"/>
      <c r="D6" s="9"/>
      <c r="E6" s="9"/>
      <c r="F6" s="9"/>
      <c r="G6" s="9"/>
      <c r="H6" s="9"/>
    </row>
    <row r="7" spans="1:9" ht="15">
      <c r="A7" s="452" t="str">
        <f>Sprache!B539&amp;IF('Resultat grafisch'!A58&lt;(Rechengang!J13),Sprache!B538,IF('Resultat grafisch'!A47&lt;'Resultat grafisch'!E47,Sprache!B540&amp;'Resultat grafisch'!E47&amp;" MJ/m²a) &gt; "&amp;Sprache!B541&amp;'Resultat grafisch'!A47&amp;" MJ/m²a),"&amp;Sprache!B542,Sprache!B541&amp;'Resultat grafisch'!A47&amp;" MJ/m²a) &gt;= "&amp;Sprache!B540&amp;'Resultat grafisch'!E47&amp;" MJ/m²a),"&amp;Sprache!B543))</f>
        <v>Resultat:  Anforderung (0 MJ/m²a) &gt;= Deckung (0 MJ/m²a), d.h. erfüllt !</v>
      </c>
      <c r="B7" s="452"/>
      <c r="C7" s="452"/>
      <c r="D7" s="452"/>
      <c r="E7" s="452"/>
      <c r="F7" s="452"/>
      <c r="G7" s="452"/>
      <c r="H7" s="452"/>
      <c r="I7" s="1"/>
    </row>
    <row r="8" spans="1:9" ht="12.75" customHeight="1">
      <c r="A8" s="1"/>
      <c r="B8" s="1"/>
      <c r="C8" s="1"/>
      <c r="D8" s="1"/>
      <c r="E8" s="1"/>
      <c r="F8" s="1"/>
      <c r="G8" s="28" t="str">
        <f>Sprache!B544</f>
        <v>Angaben in MJ/m2a</v>
      </c>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45" ht="6" customHeight="1"/>
    <row r="46" spans="2:7" ht="10.5" customHeight="1">
      <c r="B46" s="15"/>
      <c r="C46" s="453" t="str">
        <f>Sprache!B545</f>
        <v>Deckung mit nichterneuerbarer Energie zulässig (Höchstanteil nichterneuerb. E.)</v>
      </c>
      <c r="D46" s="15"/>
      <c r="G46" s="455" t="str">
        <f>Sprache!B549</f>
        <v>Deckung durch nichterneuerbare Energie</v>
      </c>
    </row>
    <row r="47" spans="1:7" ht="12.75">
      <c r="A47" s="16">
        <f>ROUND('Daten für Grafik'!F8,0)</f>
        <v>0</v>
      </c>
      <c r="B47" s="15"/>
      <c r="C47" s="453"/>
      <c r="D47" s="15"/>
      <c r="E47" s="21">
        <f>ROUND('Daten für Grafik'!J14,0)</f>
        <v>0</v>
      </c>
      <c r="G47" s="455"/>
    </row>
    <row r="48" spans="1:7" ht="6" customHeight="1">
      <c r="A48" s="17"/>
      <c r="B48" s="15"/>
      <c r="C48" s="257"/>
      <c r="D48" s="15"/>
      <c r="E48" s="17"/>
      <c r="G48" s="33"/>
    </row>
    <row r="49" spans="2:7" ht="12.75">
      <c r="B49" s="15"/>
      <c r="C49" s="453" t="str">
        <f>Sprache!B546</f>
        <v>Deckung durch bessere Wärmedämmung erneuerbare Energie oder Abwärme</v>
      </c>
      <c r="D49" s="15"/>
      <c r="G49" s="455" t="str">
        <f>Sprache!B550</f>
        <v>evtl.: Beitrag erneuerbare Energie (Netto! Strom doppelt gewichtet)</v>
      </c>
    </row>
    <row r="50" spans="1:7" ht="12.75">
      <c r="A50" s="18">
        <f>'Daten für Grafik'!G9</f>
        <v>0</v>
      </c>
      <c r="B50" s="15"/>
      <c r="C50" s="453"/>
      <c r="D50" s="15"/>
      <c r="E50" s="22">
        <f>'Daten für Grafik'!K15</f>
        <v>0</v>
      </c>
      <c r="G50" s="455"/>
    </row>
    <row r="51" spans="1:7" ht="11.25" customHeight="1">
      <c r="A51" s="17"/>
      <c r="B51" s="15"/>
      <c r="C51" s="453"/>
      <c r="D51" s="15"/>
      <c r="E51" s="17"/>
      <c r="G51" s="330"/>
    </row>
    <row r="52" spans="3:7" ht="12.75">
      <c r="C52" s="33"/>
      <c r="D52" s="15"/>
      <c r="G52" s="455" t="str">
        <f>Sprache!B551</f>
        <v>falls vorhanden: Strombedarf mech. Lüftungsanlagen (doppelt gewichtet)</v>
      </c>
    </row>
    <row r="53" spans="2:7" ht="12.75">
      <c r="B53" s="15"/>
      <c r="C53" s="454" t="str">
        <f>Sprache!B547</f>
        <v>Warmwasserbedarf (Qww)</v>
      </c>
      <c r="D53" s="15"/>
      <c r="E53" s="23">
        <f>'Daten für Grafik'!M13</f>
        <v>0</v>
      </c>
      <c r="G53" s="455"/>
    </row>
    <row r="54" spans="1:7" ht="10.5" customHeight="1">
      <c r="A54" s="19"/>
      <c r="C54" s="455"/>
      <c r="D54" s="15"/>
      <c r="E54" s="17"/>
      <c r="G54" s="33"/>
    </row>
    <row r="55" spans="1:7" ht="12.75">
      <c r="A55" s="26">
        <f>'Daten für Grafik'!D7</f>
        <v>0</v>
      </c>
      <c r="C55" s="455"/>
      <c r="D55" s="15"/>
      <c r="E55" s="27">
        <f>'Daten für Grafik'!M12</f>
        <v>0</v>
      </c>
      <c r="G55" s="456" t="str">
        <f>Sprache!B552</f>
        <v>Warmwasserbedarf (Qww)</v>
      </c>
    </row>
    <row r="56" spans="3:7" ht="9" customHeight="1">
      <c r="C56" s="33"/>
      <c r="D56" s="15"/>
      <c r="E56" s="17"/>
      <c r="G56" s="456"/>
    </row>
    <row r="57" spans="2:7" ht="10.5" customHeight="1">
      <c r="B57" s="15"/>
      <c r="C57" s="454" t="str">
        <f>Sprache!B548</f>
        <v>Grenzwert Heizenergiebedarf (Qh,li)</v>
      </c>
      <c r="D57" s="15"/>
      <c r="G57" s="33"/>
    </row>
    <row r="58" spans="1:7" ht="12.75" customHeight="1">
      <c r="A58" s="20">
        <f>'Daten für Grafik'!D6</f>
        <v>0</v>
      </c>
      <c r="C58" s="455"/>
      <c r="E58" s="24">
        <f>'Daten für Grafik'!M11</f>
        <v>0</v>
      </c>
      <c r="G58" s="33" t="str">
        <f>Sprache!B553</f>
        <v>Heizenergiebedarf (Qh)</v>
      </c>
    </row>
  </sheetData>
  <sheetProtection password="D2AA" sheet="1" objects="1" scenarios="1"/>
  <mergeCells count="9">
    <mergeCell ref="A7:H7"/>
    <mergeCell ref="C46:C47"/>
    <mergeCell ref="C49:C51"/>
    <mergeCell ref="C53:C55"/>
    <mergeCell ref="C57:C58"/>
    <mergeCell ref="G46:G47"/>
    <mergeCell ref="G49:G50"/>
    <mergeCell ref="G52:G53"/>
    <mergeCell ref="G55:G56"/>
  </mergeCells>
  <printOptions/>
  <pageMargins left="0.7086614173228347" right="0.5118110236220472" top="0.7874015748031497" bottom="0.7874015748031497" header="0.31496062992125984" footer="0.31496062992125984"/>
  <pageSetup fitToHeight="1" fitToWidth="1" horizontalDpi="300" verticalDpi="300" orientation="portrait" paperSize="9" r:id="rId2"/>
  <headerFooter alignWithMargins="0">
    <oddFooter>&amp;L&amp;8Erneuerbarer Energieanteil: Rechnerischer Nachweis&amp;R&amp;8&amp;D &amp;T / &amp;F, &amp;A</oddFooter>
  </headerFooter>
  <drawing r:id="rId1"/>
</worksheet>
</file>

<file path=xl/worksheets/sheet8.xml><?xml version="1.0" encoding="utf-8"?>
<worksheet xmlns="http://schemas.openxmlformats.org/spreadsheetml/2006/main" xmlns:r="http://schemas.openxmlformats.org/officeDocument/2006/relationships">
  <dimension ref="A1:C180"/>
  <sheetViews>
    <sheetView showZeros="0" zoomScalePageLayoutView="0" workbookViewId="0" topLeftCell="A1">
      <selection activeCell="A1" sqref="A1"/>
    </sheetView>
  </sheetViews>
  <sheetFormatPr defaultColWidth="11.57421875" defaultRowHeight="15.75" customHeight="1"/>
  <cols>
    <col min="1" max="1" width="18.7109375" style="33" customWidth="1"/>
    <col min="2" max="2" width="13.7109375" style="33" customWidth="1"/>
    <col min="3" max="3" width="11.57421875" style="232" customWidth="1"/>
    <col min="4" max="16384" width="11.57421875" style="33" customWidth="1"/>
  </cols>
  <sheetData>
    <row r="1" spans="1:3" ht="15.75" customHeight="1">
      <c r="A1" s="33" t="s">
        <v>1024</v>
      </c>
      <c r="B1" s="33" t="s">
        <v>491</v>
      </c>
      <c r="C1" s="232">
        <f>IF(ISNA(VLOOKUP($B1,Eingabe!$A$1:$B$180,2,FALSE)),,VLOOKUP($B1,Eingabe!$A$1:$B$180,2,FALSE))</f>
        <v>0</v>
      </c>
    </row>
    <row r="2" spans="1:3" ht="15.75" customHeight="1">
      <c r="A2" s="33" t="s">
        <v>1025</v>
      </c>
      <c r="B2" s="33" t="s">
        <v>492</v>
      </c>
      <c r="C2" s="232">
        <f>IF(ISNA(VLOOKUP($B2,Eingabe!$A$1:$B$180,2,FALSE)),,VLOOKUP($B2,Eingabe!$A$1:$B$180,2,FALSE))</f>
        <v>0</v>
      </c>
    </row>
    <row r="3" spans="1:3" ht="15.75" customHeight="1">
      <c r="A3" s="33" t="s">
        <v>1026</v>
      </c>
      <c r="B3" s="33" t="s">
        <v>493</v>
      </c>
      <c r="C3" s="232">
        <f>IF(ISNA(VLOOKUP($B3,Eingabe!$A$1:$B$180,2,FALSE)),,VLOOKUP($B3,Eingabe!$A$1:$B$180,2,FALSE))</f>
        <v>0</v>
      </c>
    </row>
    <row r="4" spans="1:3" ht="15.75" customHeight="1">
      <c r="A4" s="33" t="s">
        <v>489</v>
      </c>
      <c r="B4" s="33" t="s">
        <v>494</v>
      </c>
      <c r="C4" s="232">
        <f>IF(ISNA(VLOOKUP($B4,Eingabe!$A$1:$B$180,2,FALSE)),,VLOOKUP($B4,Eingabe!$A$1:$B$180,2,FALSE))</f>
        <v>0</v>
      </c>
    </row>
    <row r="5" spans="1:3" ht="15.75" customHeight="1">
      <c r="A5" s="33" t="s">
        <v>71</v>
      </c>
      <c r="B5" s="33" t="s">
        <v>70</v>
      </c>
      <c r="C5" s="232">
        <f>IF(ISNA(VLOOKUP($B5,Eingabe!$A$1:$B$180,2,FALSE)),,VLOOKUP($B5,Eingabe!$A$1:$B$180,2,FALSE))</f>
        <v>0</v>
      </c>
    </row>
    <row r="6" spans="1:3" ht="15.75" customHeight="1">
      <c r="A6" s="33" t="s">
        <v>1001</v>
      </c>
      <c r="B6" s="33" t="s">
        <v>495</v>
      </c>
      <c r="C6" s="232">
        <f>IF(ISNA(VLOOKUP($B6,Eingabe!$A$1:$B$180,2,FALSE)),,VLOOKUP($B6,Eingabe!$A$1:$B$180,2,FALSE))</f>
        <v>0</v>
      </c>
    </row>
    <row r="7" spans="1:3" ht="15.75" customHeight="1">
      <c r="A7" s="33" t="s">
        <v>1027</v>
      </c>
      <c r="B7" s="33" t="s">
        <v>496</v>
      </c>
      <c r="C7" s="232">
        <f>IF(ISNA(VLOOKUP($B7,Eingabe!$A$1:$B$180,2,FALSE)),,VLOOKUP($B7,Eingabe!$A$1:$B$180,2,FALSE))</f>
        <v>0</v>
      </c>
    </row>
    <row r="8" spans="1:3" ht="15.75" customHeight="1">
      <c r="A8" s="33" t="s">
        <v>1028</v>
      </c>
      <c r="B8" s="33" t="s">
        <v>497</v>
      </c>
      <c r="C8" s="232">
        <f>IF(ISNA(VLOOKUP($B8,Eingabe!$A$1:$B$180,2,FALSE)),,VLOOKUP($B8,Eingabe!$A$1:$B$180,2,FALSE))</f>
        <v>0</v>
      </c>
    </row>
    <row r="9" spans="1:3" ht="15.75" customHeight="1">
      <c r="A9" s="33" t="s">
        <v>1029</v>
      </c>
      <c r="B9" s="33" t="s">
        <v>498</v>
      </c>
      <c r="C9" s="232">
        <f>IF(ISNA(VLOOKUP($B9,Eingabe!$A$1:$B$180,2,FALSE)),,VLOOKUP($B9,Eingabe!$A$1:$B$180,2,FALSE))</f>
        <v>0</v>
      </c>
    </row>
    <row r="10" spans="1:3" ht="15.75" customHeight="1">
      <c r="A10" s="33" t="s">
        <v>1030</v>
      </c>
      <c r="B10" s="33" t="s">
        <v>499</v>
      </c>
      <c r="C10" s="232">
        <f>IF(ISNA(VLOOKUP($B10,Eingabe!$A$1:$B$180,2,FALSE)),,VLOOKUP($B10,Eingabe!$A$1:$B$180,2,FALSE))</f>
        <v>0</v>
      </c>
    </row>
    <row r="11" spans="1:3" ht="15.75" customHeight="1">
      <c r="A11" s="33" t="s">
        <v>1035</v>
      </c>
      <c r="B11" s="33" t="s">
        <v>500</v>
      </c>
      <c r="C11" s="232">
        <f>IF(ISNA(VLOOKUP($B11,Eingabe!$A$1:$B$180,2,FALSE)),,VLOOKUP($B11,Eingabe!$A$1:$B$180,2,FALSE))</f>
        <v>0</v>
      </c>
    </row>
    <row r="12" spans="1:3" ht="15.75" customHeight="1">
      <c r="A12" s="33" t="s">
        <v>490</v>
      </c>
      <c r="B12" s="33" t="s">
        <v>501</v>
      </c>
      <c r="C12" s="232">
        <f>IF(ISNA(VLOOKUP($B12,Eingabe!$A$1:$B$180,2,FALSE)),,VLOOKUP($B12,Eingabe!$A$1:$B$180,2,FALSE))</f>
        <v>0</v>
      </c>
    </row>
    <row r="13" spans="1:3" ht="15.75" customHeight="1">
      <c r="A13" s="33" t="s">
        <v>1036</v>
      </c>
      <c r="B13" s="33" t="s">
        <v>509</v>
      </c>
      <c r="C13" s="232">
        <f>IF(ISNA(VLOOKUP($B13,Eingabe!$A$1:$B$180,2,FALSE)),,VLOOKUP($B13,Eingabe!$A$1:$B$180,2,FALSE))</f>
        <v>0</v>
      </c>
    </row>
    <row r="14" spans="1:3" ht="15.75" customHeight="1">
      <c r="A14" s="33" t="s">
        <v>1037</v>
      </c>
      <c r="B14" s="33" t="s">
        <v>502</v>
      </c>
      <c r="C14" s="232">
        <f>IF(ISNA(VLOOKUP($B14,Eingabe!$A$1:$B$180,2,FALSE)),,VLOOKUP($B14,Eingabe!$A$1:$B$180,2,FALSE))</f>
        <v>0</v>
      </c>
    </row>
    <row r="15" spans="1:3" ht="15.75" customHeight="1">
      <c r="A15" s="33" t="s">
        <v>1038</v>
      </c>
      <c r="B15" s="33" t="s">
        <v>505</v>
      </c>
      <c r="C15" s="232">
        <f>IF(ISNA(VLOOKUP($B15,Eingabe!$A$1:$B$180,2,FALSE)),,VLOOKUP($B15,Eingabe!$A$1:$B$180,2,FALSE))</f>
        <v>0</v>
      </c>
    </row>
    <row r="16" spans="1:3" ht="15.75" customHeight="1">
      <c r="A16" s="33" t="s">
        <v>1039</v>
      </c>
      <c r="B16" s="33" t="s">
        <v>506</v>
      </c>
      <c r="C16" s="232">
        <f>IF(ISNA(VLOOKUP($B16,Eingabe!$A$1:$B$180,2,FALSE)),,VLOOKUP($B16,Eingabe!$A$1:$B$180,2,FALSE))</f>
        <v>0</v>
      </c>
    </row>
    <row r="17" spans="1:3" ht="15.75" customHeight="1">
      <c r="A17" s="33" t="s">
        <v>1040</v>
      </c>
      <c r="B17" s="33" t="s">
        <v>507</v>
      </c>
      <c r="C17" s="232">
        <f>IF(ISNA(VLOOKUP($B17,Eingabe!$A$1:$B$180,2,FALSE)),,VLOOKUP($B17,Eingabe!$A$1:$B$180,2,FALSE))</f>
        <v>0</v>
      </c>
    </row>
    <row r="18" spans="1:3" ht="15.75" customHeight="1">
      <c r="A18" s="33" t="s">
        <v>1044</v>
      </c>
      <c r="B18" s="33" t="s">
        <v>508</v>
      </c>
      <c r="C18" s="232">
        <f>IF(ISNA(VLOOKUP($B18,Eingabe!$A$1:$B$180,2,FALSE)),,VLOOKUP($B18,Eingabe!$A$1:$B$180,2,FALSE))</f>
        <v>0</v>
      </c>
    </row>
    <row r="19" spans="1:3" ht="15.75" customHeight="1">
      <c r="A19" s="33" t="s">
        <v>1045</v>
      </c>
      <c r="B19" s="33" t="s">
        <v>510</v>
      </c>
      <c r="C19" s="232">
        <f>IF(ISNA(VLOOKUP($B19,Eingabe!$A$1:$B$180,2,FALSE)),,VLOOKUP($B19,Eingabe!$A$1:$B$180,2,FALSE))</f>
        <v>0</v>
      </c>
    </row>
    <row r="20" spans="1:3" ht="15.75" customHeight="1">
      <c r="A20" s="33" t="s">
        <v>1046</v>
      </c>
      <c r="B20" s="33" t="s">
        <v>511</v>
      </c>
      <c r="C20" s="232">
        <f>IF(ISNA(VLOOKUP($B20,Eingabe!$A$1:$B$180,2,FALSE)),,VLOOKUP($B20,Eingabe!$A$1:$B$180,2,FALSE))</f>
        <v>0</v>
      </c>
    </row>
    <row r="21" spans="1:3" ht="15.75" customHeight="1">
      <c r="A21" s="33" t="s">
        <v>1041</v>
      </c>
      <c r="B21" s="33" t="s">
        <v>503</v>
      </c>
      <c r="C21" s="232">
        <f>IF(ISNA(VLOOKUP($B21,Eingabe!$A$1:$B$180,2,FALSE)),,VLOOKUP($B21,Eingabe!$A$1:$B$180,2,FALSE))</f>
        <v>0</v>
      </c>
    </row>
    <row r="22" spans="1:3" ht="15.75" customHeight="1">
      <c r="A22" s="33" t="s">
        <v>1042</v>
      </c>
      <c r="B22" s="33" t="s">
        <v>504</v>
      </c>
      <c r="C22" s="232">
        <f>IF(ISNA(VLOOKUP($B22,Eingabe!$A$1:$B$180,2,FALSE)),,VLOOKUP($B22,Eingabe!$A$1:$B$180,2,FALSE))</f>
        <v>0</v>
      </c>
    </row>
    <row r="23" spans="1:3" ht="15.75" customHeight="1">
      <c r="A23" s="33" t="s">
        <v>1043</v>
      </c>
      <c r="B23" s="33" t="s">
        <v>512</v>
      </c>
      <c r="C23" s="232">
        <f>IF(ISNA(VLOOKUP($B23,Eingabe!$A$1:$B$180,2,FALSE)),,VLOOKUP($B23,Eingabe!$A$1:$B$180,2,FALSE))</f>
        <v>0</v>
      </c>
    </row>
    <row r="24" spans="1:3" ht="15.75" customHeight="1">
      <c r="A24" s="33" t="s">
        <v>179</v>
      </c>
      <c r="B24" s="33" t="s">
        <v>180</v>
      </c>
      <c r="C24" s="232">
        <f>IF(ISNA(VLOOKUP($B24,Eingabe!$A$1:$B$180,2,FALSE)),,VLOOKUP($B24,Eingabe!$A$1:$B$180,2,FALSE))</f>
        <v>0</v>
      </c>
    </row>
    <row r="25" spans="1:3" ht="15.75" customHeight="1">
      <c r="A25" s="33" t="s">
        <v>1001</v>
      </c>
      <c r="B25" s="33" t="s">
        <v>513</v>
      </c>
      <c r="C25" s="232">
        <f>IF(ISNA(VLOOKUP($B25,Eingabe!$A$1:$B$180,2,FALSE)),,VLOOKUP($B25,Eingabe!$A$1:$B$180,2,FALSE))</f>
        <v>0</v>
      </c>
    </row>
    <row r="26" spans="1:3" ht="15.75" customHeight="1">
      <c r="A26" s="33" t="s">
        <v>1027</v>
      </c>
      <c r="B26" s="33" t="s">
        <v>514</v>
      </c>
      <c r="C26" s="232">
        <f>IF(ISNA(VLOOKUP($B26,Eingabe!$A$1:$B$180,2,FALSE)),,VLOOKUP($B26,Eingabe!$A$1:$B$180,2,FALSE))</f>
        <v>0</v>
      </c>
    </row>
    <row r="27" spans="1:3" ht="15.75" customHeight="1">
      <c r="A27" s="33" t="s">
        <v>1028</v>
      </c>
      <c r="B27" s="33" t="s">
        <v>515</v>
      </c>
      <c r="C27" s="232">
        <f>IF(ISNA(VLOOKUP($B27,Eingabe!$A$1:$B$180,2,FALSE)),,VLOOKUP($B27,Eingabe!$A$1:$B$180,2,FALSE))</f>
        <v>0</v>
      </c>
    </row>
    <row r="28" spans="1:3" ht="15.75" customHeight="1">
      <c r="A28" s="33" t="s">
        <v>1029</v>
      </c>
      <c r="B28" s="33" t="s">
        <v>516</v>
      </c>
      <c r="C28" s="232">
        <f>IF(ISNA(VLOOKUP($B28,Eingabe!$A$1:$B$180,2,FALSE)),,VLOOKUP($B28,Eingabe!$A$1:$B$180,2,FALSE))</f>
        <v>0</v>
      </c>
    </row>
    <row r="29" spans="1:3" ht="15.75" customHeight="1">
      <c r="A29" s="33" t="s">
        <v>1030</v>
      </c>
      <c r="B29" s="33" t="s">
        <v>517</v>
      </c>
      <c r="C29" s="232">
        <f>IF(ISNA(VLOOKUP($B29,Eingabe!$A$1:$B$180,2,FALSE)),,VLOOKUP($B29,Eingabe!$A$1:$B$180,2,FALSE))</f>
        <v>0</v>
      </c>
    </row>
    <row r="30" spans="1:3" ht="15.75" customHeight="1">
      <c r="A30" s="33" t="s">
        <v>1035</v>
      </c>
      <c r="B30" s="33" t="s">
        <v>518</v>
      </c>
      <c r="C30" s="232">
        <f>IF(ISNA(VLOOKUP($B30,Eingabe!$A$1:$B$180,2,FALSE)),,VLOOKUP($B30,Eingabe!$A$1:$B$180,2,FALSE))</f>
        <v>0</v>
      </c>
    </row>
    <row r="31" spans="1:3" ht="15.75" customHeight="1">
      <c r="A31" s="33" t="s">
        <v>490</v>
      </c>
      <c r="B31" s="33" t="s">
        <v>519</v>
      </c>
      <c r="C31" s="232">
        <f>IF(ISNA(VLOOKUP($B31,Eingabe!$A$1:$B$180,2,FALSE)),,VLOOKUP($B31,Eingabe!$A$1:$B$180,2,FALSE))</f>
        <v>0</v>
      </c>
    </row>
    <row r="32" spans="1:3" ht="15.75" customHeight="1">
      <c r="A32" s="33" t="s">
        <v>1036</v>
      </c>
      <c r="B32" s="33" t="s">
        <v>520</v>
      </c>
      <c r="C32" s="232">
        <f>IF(ISNA(VLOOKUP($B32,Eingabe!$A$1:$B$180,2,FALSE)),,VLOOKUP($B32,Eingabe!$A$1:$B$180,2,FALSE))</f>
        <v>0</v>
      </c>
    </row>
    <row r="33" spans="1:3" ht="15.75" customHeight="1">
      <c r="A33" s="33" t="s">
        <v>1037</v>
      </c>
      <c r="B33" s="33" t="s">
        <v>521</v>
      </c>
      <c r="C33" s="232">
        <f>IF(ISNA(VLOOKUP($B33,Eingabe!$A$1:$B$180,2,FALSE)),,VLOOKUP($B33,Eingabe!$A$1:$B$180,2,FALSE))</f>
        <v>0</v>
      </c>
    </row>
    <row r="34" spans="1:3" ht="15.75" customHeight="1">
      <c r="A34" s="33" t="s">
        <v>1038</v>
      </c>
      <c r="B34" s="33" t="s">
        <v>522</v>
      </c>
      <c r="C34" s="232">
        <f>IF(ISNA(VLOOKUP($B34,Eingabe!$A$1:$B$180,2,FALSE)),,VLOOKUP($B34,Eingabe!$A$1:$B$180,2,FALSE))</f>
        <v>0</v>
      </c>
    </row>
    <row r="35" spans="1:3" ht="15.75" customHeight="1">
      <c r="A35" s="33" t="s">
        <v>1039</v>
      </c>
      <c r="B35" s="33" t="s">
        <v>523</v>
      </c>
      <c r="C35" s="232">
        <f>IF(ISNA(VLOOKUP($B35,Eingabe!$A$1:$B$180,2,FALSE)),,VLOOKUP($B35,Eingabe!$A$1:$B$180,2,FALSE))</f>
        <v>0</v>
      </c>
    </row>
    <row r="36" spans="1:3" ht="15.75" customHeight="1">
      <c r="A36" s="33" t="s">
        <v>1040</v>
      </c>
      <c r="B36" s="33" t="s">
        <v>524</v>
      </c>
      <c r="C36" s="232">
        <f>IF(ISNA(VLOOKUP($B36,Eingabe!$A$1:$B$180,2,FALSE)),,VLOOKUP($B36,Eingabe!$A$1:$B$180,2,FALSE))</f>
        <v>0</v>
      </c>
    </row>
    <row r="37" spans="1:3" ht="15.75" customHeight="1">
      <c r="A37" s="33" t="s">
        <v>1044</v>
      </c>
      <c r="B37" s="33" t="s">
        <v>525</v>
      </c>
      <c r="C37" s="232">
        <f>IF(ISNA(VLOOKUP($B37,Eingabe!$A$1:$B$180,2,FALSE)),,VLOOKUP($B37,Eingabe!$A$1:$B$180,2,FALSE))</f>
        <v>0</v>
      </c>
    </row>
    <row r="38" spans="1:3" ht="15.75" customHeight="1">
      <c r="A38" s="33" t="s">
        <v>1045</v>
      </c>
      <c r="B38" s="33" t="s">
        <v>526</v>
      </c>
      <c r="C38" s="232">
        <f>IF(ISNA(VLOOKUP($B38,Eingabe!$A$1:$B$180,2,FALSE)),,VLOOKUP($B38,Eingabe!$A$1:$B$180,2,FALSE))</f>
        <v>0</v>
      </c>
    </row>
    <row r="39" spans="1:3" ht="15.75" customHeight="1">
      <c r="A39" s="33" t="s">
        <v>1046</v>
      </c>
      <c r="B39" s="33" t="s">
        <v>527</v>
      </c>
      <c r="C39" s="232">
        <f>IF(ISNA(VLOOKUP($B39,Eingabe!$A$1:$B$180,2,FALSE)),,VLOOKUP($B39,Eingabe!$A$1:$B$180,2,FALSE))</f>
        <v>0</v>
      </c>
    </row>
    <row r="40" spans="1:3" ht="15.75" customHeight="1">
      <c r="A40" s="33" t="s">
        <v>1041</v>
      </c>
      <c r="B40" s="33" t="s">
        <v>528</v>
      </c>
      <c r="C40" s="232">
        <f>IF(ISNA(VLOOKUP($B40,Eingabe!$A$1:$B$180,2,FALSE)),,VLOOKUP($B40,Eingabe!$A$1:$B$180,2,FALSE))</f>
        <v>0</v>
      </c>
    </row>
    <row r="41" spans="1:3" ht="15.75" customHeight="1">
      <c r="A41" s="33" t="s">
        <v>1042</v>
      </c>
      <c r="B41" s="33" t="s">
        <v>529</v>
      </c>
      <c r="C41" s="232">
        <f>IF(ISNA(VLOOKUP($B41,Eingabe!$A$1:$B$180,2,FALSE)),,VLOOKUP($B41,Eingabe!$A$1:$B$180,2,FALSE))</f>
        <v>0</v>
      </c>
    </row>
    <row r="42" spans="1:3" ht="15.75" customHeight="1">
      <c r="A42" s="33" t="s">
        <v>1043</v>
      </c>
      <c r="B42" s="33" t="s">
        <v>530</v>
      </c>
      <c r="C42" s="232">
        <f>IF(ISNA(VLOOKUP($B42,Eingabe!$A$1:$B$180,2,FALSE)),,VLOOKUP($B42,Eingabe!$A$1:$B$180,2,FALSE))</f>
        <v>0</v>
      </c>
    </row>
    <row r="43" spans="1:3" ht="15.75" customHeight="1">
      <c r="A43" s="33" t="s">
        <v>179</v>
      </c>
      <c r="B43" s="33" t="s">
        <v>181</v>
      </c>
      <c r="C43" s="232">
        <f>IF(ISNA(VLOOKUP($B43,Eingabe!$A$1:$B$180,2,FALSE)),,VLOOKUP($B43,Eingabe!$A$1:$B$180,2,FALSE))</f>
        <v>0</v>
      </c>
    </row>
    <row r="44" spans="1:3" ht="15.75" customHeight="1">
      <c r="A44" s="33" t="s">
        <v>1001</v>
      </c>
      <c r="B44" s="33" t="s">
        <v>531</v>
      </c>
      <c r="C44" s="232">
        <f>IF(ISNA(VLOOKUP($B44,Eingabe!$A$1:$B$180,2,FALSE)),,VLOOKUP($B44,Eingabe!$A$1:$B$180,2,FALSE))</f>
        <v>0</v>
      </c>
    </row>
    <row r="45" spans="1:3" ht="15.75" customHeight="1">
      <c r="A45" s="33" t="s">
        <v>1027</v>
      </c>
      <c r="B45" s="33" t="s">
        <v>532</v>
      </c>
      <c r="C45" s="232">
        <f>IF(ISNA(VLOOKUP($B45,Eingabe!$A$1:$B$180,2,FALSE)),,VLOOKUP($B45,Eingabe!$A$1:$B$180,2,FALSE))</f>
        <v>0</v>
      </c>
    </row>
    <row r="46" spans="1:3" ht="15.75" customHeight="1">
      <c r="A46" s="33" t="s">
        <v>1028</v>
      </c>
      <c r="B46" s="33" t="s">
        <v>533</v>
      </c>
      <c r="C46" s="232">
        <f>IF(ISNA(VLOOKUP($B46,Eingabe!$A$1:$B$180,2,FALSE)),,VLOOKUP($B46,Eingabe!$A$1:$B$180,2,FALSE))</f>
        <v>0</v>
      </c>
    </row>
    <row r="47" spans="1:3" ht="15.75" customHeight="1">
      <c r="A47" s="33" t="s">
        <v>1029</v>
      </c>
      <c r="B47" s="33" t="s">
        <v>534</v>
      </c>
      <c r="C47" s="232">
        <f>IF(ISNA(VLOOKUP($B47,Eingabe!$A$1:$B$180,2,FALSE)),,VLOOKUP($B47,Eingabe!$A$1:$B$180,2,FALSE))</f>
        <v>0</v>
      </c>
    </row>
    <row r="48" spans="1:3" ht="15.75" customHeight="1">
      <c r="A48" s="33" t="s">
        <v>1030</v>
      </c>
      <c r="B48" s="33" t="s">
        <v>535</v>
      </c>
      <c r="C48" s="232">
        <f>IF(ISNA(VLOOKUP($B48,Eingabe!$A$1:$B$180,2,FALSE)),,VLOOKUP($B48,Eingabe!$A$1:$B$180,2,FALSE))</f>
        <v>0</v>
      </c>
    </row>
    <row r="49" spans="1:3" ht="15.75" customHeight="1">
      <c r="A49" s="33" t="s">
        <v>1035</v>
      </c>
      <c r="B49" s="33" t="s">
        <v>536</v>
      </c>
      <c r="C49" s="232">
        <f>IF(ISNA(VLOOKUP($B49,Eingabe!$A$1:$B$180,2,FALSE)),,VLOOKUP($B49,Eingabe!$A$1:$B$180,2,FALSE))</f>
        <v>0</v>
      </c>
    </row>
    <row r="50" spans="1:3" ht="15.75" customHeight="1">
      <c r="A50" s="33" t="s">
        <v>490</v>
      </c>
      <c r="B50" s="33" t="s">
        <v>537</v>
      </c>
      <c r="C50" s="232">
        <f>IF(ISNA(VLOOKUP($B50,Eingabe!$A$1:$B$180,2,FALSE)),,VLOOKUP($B50,Eingabe!$A$1:$B$180,2,FALSE))</f>
        <v>0</v>
      </c>
    </row>
    <row r="51" spans="1:3" ht="15.75" customHeight="1">
      <c r="A51" s="33" t="s">
        <v>1036</v>
      </c>
      <c r="B51" s="33" t="s">
        <v>538</v>
      </c>
      <c r="C51" s="232">
        <f>IF(ISNA(VLOOKUP($B51,Eingabe!$A$1:$B$180,2,FALSE)),,VLOOKUP($B51,Eingabe!$A$1:$B$180,2,FALSE))</f>
        <v>0</v>
      </c>
    </row>
    <row r="52" spans="1:3" ht="15.75" customHeight="1">
      <c r="A52" s="33" t="s">
        <v>1037</v>
      </c>
      <c r="B52" s="33" t="s">
        <v>539</v>
      </c>
      <c r="C52" s="232">
        <f>IF(ISNA(VLOOKUP($B52,Eingabe!$A$1:$B$180,2,FALSE)),,VLOOKUP($B52,Eingabe!$A$1:$B$180,2,FALSE))</f>
        <v>0</v>
      </c>
    </row>
    <row r="53" spans="1:3" ht="15.75" customHeight="1">
      <c r="A53" s="33" t="s">
        <v>1038</v>
      </c>
      <c r="B53" s="33" t="s">
        <v>540</v>
      </c>
      <c r="C53" s="232">
        <f>IF(ISNA(VLOOKUP($B53,Eingabe!$A$1:$B$180,2,FALSE)),,VLOOKUP($B53,Eingabe!$A$1:$B$180,2,FALSE))</f>
        <v>0</v>
      </c>
    </row>
    <row r="54" spans="1:3" ht="15.75" customHeight="1">
      <c r="A54" s="33" t="s">
        <v>1039</v>
      </c>
      <c r="B54" s="33" t="s">
        <v>541</v>
      </c>
      <c r="C54" s="232">
        <f>IF(ISNA(VLOOKUP($B54,Eingabe!$A$1:$B$180,2,FALSE)),,VLOOKUP($B54,Eingabe!$A$1:$B$180,2,FALSE))</f>
        <v>0</v>
      </c>
    </row>
    <row r="55" spans="1:3" ht="15.75" customHeight="1">
      <c r="A55" s="33" t="s">
        <v>1040</v>
      </c>
      <c r="B55" s="33" t="s">
        <v>542</v>
      </c>
      <c r="C55" s="232">
        <f>IF(ISNA(VLOOKUP($B55,Eingabe!$A$1:$B$180,2,FALSE)),,VLOOKUP($B55,Eingabe!$A$1:$B$180,2,FALSE))</f>
        <v>0</v>
      </c>
    </row>
    <row r="56" spans="1:3" ht="15.75" customHeight="1">
      <c r="A56" s="33" t="s">
        <v>1044</v>
      </c>
      <c r="B56" s="33" t="s">
        <v>543</v>
      </c>
      <c r="C56" s="232">
        <f>IF(ISNA(VLOOKUP($B56,Eingabe!$A$1:$B$180,2,FALSE)),,VLOOKUP($B56,Eingabe!$A$1:$B$180,2,FALSE))</f>
        <v>0</v>
      </c>
    </row>
    <row r="57" spans="1:3" ht="15.75" customHeight="1">
      <c r="A57" s="33" t="s">
        <v>1045</v>
      </c>
      <c r="B57" s="33" t="s">
        <v>544</v>
      </c>
      <c r="C57" s="232">
        <f>IF(ISNA(VLOOKUP($B57,Eingabe!$A$1:$B$180,2,FALSE)),,VLOOKUP($B57,Eingabe!$A$1:$B$180,2,FALSE))</f>
        <v>0</v>
      </c>
    </row>
    <row r="58" spans="1:3" ht="15.75" customHeight="1">
      <c r="A58" s="33" t="s">
        <v>1046</v>
      </c>
      <c r="B58" s="33" t="s">
        <v>545</v>
      </c>
      <c r="C58" s="232">
        <f>IF(ISNA(VLOOKUP($B58,Eingabe!$A$1:$B$180,2,FALSE)),,VLOOKUP($B58,Eingabe!$A$1:$B$180,2,FALSE))</f>
        <v>0</v>
      </c>
    </row>
    <row r="59" spans="1:3" ht="15.75" customHeight="1">
      <c r="A59" s="33" t="s">
        <v>1041</v>
      </c>
      <c r="B59" s="33" t="s">
        <v>546</v>
      </c>
      <c r="C59" s="232">
        <f>IF(ISNA(VLOOKUP($B59,Eingabe!$A$1:$B$180,2,FALSE)),,VLOOKUP($B59,Eingabe!$A$1:$B$180,2,FALSE))</f>
        <v>0</v>
      </c>
    </row>
    <row r="60" spans="1:3" ht="15.75" customHeight="1">
      <c r="A60" s="33" t="s">
        <v>1042</v>
      </c>
      <c r="B60" s="33" t="s">
        <v>547</v>
      </c>
      <c r="C60" s="232">
        <f>IF(ISNA(VLOOKUP($B60,Eingabe!$A$1:$B$180,2,FALSE)),,VLOOKUP($B60,Eingabe!$A$1:$B$180,2,FALSE))</f>
        <v>0</v>
      </c>
    </row>
    <row r="61" spans="1:3" ht="15.75" customHeight="1">
      <c r="A61" s="33" t="s">
        <v>1043</v>
      </c>
      <c r="B61" s="33" t="s">
        <v>548</v>
      </c>
      <c r="C61" s="232">
        <f>IF(ISNA(VLOOKUP($B61,Eingabe!$A$1:$B$180,2,FALSE)),,VLOOKUP($B61,Eingabe!$A$1:$B$180,2,FALSE))</f>
        <v>0</v>
      </c>
    </row>
    <row r="62" spans="1:3" ht="15.75" customHeight="1">
      <c r="A62" s="33" t="s">
        <v>179</v>
      </c>
      <c r="B62" s="33" t="s">
        <v>182</v>
      </c>
      <c r="C62" s="232">
        <f>IF(ISNA(VLOOKUP($B62,Eingabe!$A$1:$B$180,2,FALSE)),,VLOOKUP($B62,Eingabe!$A$1:$B$180,2,FALSE))</f>
        <v>0</v>
      </c>
    </row>
    <row r="63" spans="1:3" ht="15.75" customHeight="1">
      <c r="A63" s="33" t="s">
        <v>1001</v>
      </c>
      <c r="B63" s="33" t="s">
        <v>549</v>
      </c>
      <c r="C63" s="232">
        <f>IF(ISNA(VLOOKUP($B63,Eingabe!$A$1:$B$180,2,FALSE)),,VLOOKUP($B63,Eingabe!$A$1:$B$180,2,FALSE))</f>
        <v>0</v>
      </c>
    </row>
    <row r="64" spans="1:3" ht="15.75" customHeight="1">
      <c r="A64" s="33" t="s">
        <v>1027</v>
      </c>
      <c r="B64" s="33" t="s">
        <v>550</v>
      </c>
      <c r="C64" s="232">
        <f>IF(ISNA(VLOOKUP($B64,Eingabe!$A$1:$B$180,2,FALSE)),,VLOOKUP($B64,Eingabe!$A$1:$B$180,2,FALSE))</f>
        <v>0</v>
      </c>
    </row>
    <row r="65" spans="1:3" ht="15.75" customHeight="1">
      <c r="A65" s="33" t="s">
        <v>1028</v>
      </c>
      <c r="B65" s="33" t="s">
        <v>551</v>
      </c>
      <c r="C65" s="232">
        <f>IF(ISNA(VLOOKUP($B65,Eingabe!$A$1:$B$180,2,FALSE)),,VLOOKUP($B65,Eingabe!$A$1:$B$180,2,FALSE))</f>
        <v>0</v>
      </c>
    </row>
    <row r="66" spans="1:3" ht="15.75" customHeight="1">
      <c r="A66" s="33" t="s">
        <v>1029</v>
      </c>
      <c r="B66" s="33" t="s">
        <v>552</v>
      </c>
      <c r="C66" s="232">
        <f>IF(ISNA(VLOOKUP($B66,Eingabe!$A$1:$B$180,2,FALSE)),,VLOOKUP($B66,Eingabe!$A$1:$B$180,2,FALSE))</f>
        <v>0</v>
      </c>
    </row>
    <row r="67" spans="1:3" ht="15.75" customHeight="1">
      <c r="A67" s="33" t="s">
        <v>1030</v>
      </c>
      <c r="B67" s="33" t="s">
        <v>553</v>
      </c>
      <c r="C67" s="232">
        <f>IF(ISNA(VLOOKUP($B67,Eingabe!$A$1:$B$180,2,FALSE)),,VLOOKUP($B67,Eingabe!$A$1:$B$180,2,FALSE))</f>
        <v>0</v>
      </c>
    </row>
    <row r="68" spans="1:3" ht="15.75" customHeight="1">
      <c r="A68" s="33" t="s">
        <v>1035</v>
      </c>
      <c r="B68" s="33" t="s">
        <v>555</v>
      </c>
      <c r="C68" s="232">
        <f>IF(ISNA(VLOOKUP($B68,Eingabe!$A$1:$B$180,2,FALSE)),,VLOOKUP($B68,Eingabe!$A$1:$B$180,2,FALSE))</f>
        <v>0</v>
      </c>
    </row>
    <row r="69" spans="1:3" ht="15.75" customHeight="1">
      <c r="A69" s="33" t="s">
        <v>490</v>
      </c>
      <c r="B69" s="33" t="s">
        <v>554</v>
      </c>
      <c r="C69" s="232">
        <f>IF(ISNA(VLOOKUP($B69,Eingabe!$A$1:$B$180,2,FALSE)),,VLOOKUP($B69,Eingabe!$A$1:$B$180,2,FALSE))</f>
        <v>0</v>
      </c>
    </row>
    <row r="70" spans="1:3" ht="15.75" customHeight="1">
      <c r="A70" s="33" t="s">
        <v>1036</v>
      </c>
      <c r="B70" s="33" t="s">
        <v>556</v>
      </c>
      <c r="C70" s="232">
        <f>IF(ISNA(VLOOKUP($B70,Eingabe!$A$1:$B$180,2,FALSE)),,VLOOKUP($B70,Eingabe!$A$1:$B$180,2,FALSE))</f>
        <v>0</v>
      </c>
    </row>
    <row r="71" spans="1:3" ht="15.75" customHeight="1">
      <c r="A71" s="33" t="s">
        <v>1037</v>
      </c>
      <c r="B71" s="33" t="s">
        <v>557</v>
      </c>
      <c r="C71" s="232">
        <f>IF(ISNA(VLOOKUP($B71,Eingabe!$A$1:$B$180,2,FALSE)),,VLOOKUP($B71,Eingabe!$A$1:$B$180,2,FALSE))</f>
        <v>0</v>
      </c>
    </row>
    <row r="72" spans="1:3" ht="15.75" customHeight="1">
      <c r="A72" s="33" t="s">
        <v>1038</v>
      </c>
      <c r="B72" s="33" t="s">
        <v>558</v>
      </c>
      <c r="C72" s="232">
        <f>IF(ISNA(VLOOKUP($B72,Eingabe!$A$1:$B$180,2,FALSE)),,VLOOKUP($B72,Eingabe!$A$1:$B$180,2,FALSE))</f>
        <v>0</v>
      </c>
    </row>
    <row r="73" spans="1:3" ht="15.75" customHeight="1">
      <c r="A73" s="33" t="s">
        <v>1039</v>
      </c>
      <c r="B73" s="33" t="s">
        <v>559</v>
      </c>
      <c r="C73" s="232">
        <f>IF(ISNA(VLOOKUP($B73,Eingabe!$A$1:$B$180,2,FALSE)),,VLOOKUP($B73,Eingabe!$A$1:$B$180,2,FALSE))</f>
        <v>0</v>
      </c>
    </row>
    <row r="74" spans="1:3" ht="15.75" customHeight="1">
      <c r="A74" s="33" t="s">
        <v>1040</v>
      </c>
      <c r="B74" s="33" t="s">
        <v>560</v>
      </c>
      <c r="C74" s="232">
        <f>IF(ISNA(VLOOKUP($B74,Eingabe!$A$1:$B$180,2,FALSE)),,VLOOKUP($B74,Eingabe!$A$1:$B$180,2,FALSE))</f>
        <v>0</v>
      </c>
    </row>
    <row r="75" spans="1:3" ht="15.75" customHeight="1">
      <c r="A75" s="33" t="s">
        <v>1044</v>
      </c>
      <c r="B75" s="33" t="s">
        <v>561</v>
      </c>
      <c r="C75" s="232">
        <f>IF(ISNA(VLOOKUP($B75,Eingabe!$A$1:$B$180,2,FALSE)),,VLOOKUP($B75,Eingabe!$A$1:$B$180,2,FALSE))</f>
        <v>0</v>
      </c>
    </row>
    <row r="76" spans="1:3" ht="15.75" customHeight="1">
      <c r="A76" s="33" t="s">
        <v>1045</v>
      </c>
      <c r="B76" s="33" t="s">
        <v>562</v>
      </c>
      <c r="C76" s="232">
        <f>IF(ISNA(VLOOKUP($B76,Eingabe!$A$1:$B$180,2,FALSE)),,VLOOKUP($B76,Eingabe!$A$1:$B$180,2,FALSE))</f>
        <v>0</v>
      </c>
    </row>
    <row r="77" spans="1:3" ht="15.75" customHeight="1">
      <c r="A77" s="33" t="s">
        <v>1046</v>
      </c>
      <c r="B77" s="33" t="s">
        <v>563</v>
      </c>
      <c r="C77" s="232">
        <f>IF(ISNA(VLOOKUP($B77,Eingabe!$A$1:$B$180,2,FALSE)),,VLOOKUP($B77,Eingabe!$A$1:$B$180,2,FALSE))</f>
        <v>0</v>
      </c>
    </row>
    <row r="78" spans="1:3" ht="15.75" customHeight="1">
      <c r="A78" s="33" t="s">
        <v>1041</v>
      </c>
      <c r="B78" s="33" t="s">
        <v>564</v>
      </c>
      <c r="C78" s="232">
        <f>IF(ISNA(VLOOKUP($B78,Eingabe!$A$1:$B$180,2,FALSE)),,VLOOKUP($B78,Eingabe!$A$1:$B$180,2,FALSE))</f>
        <v>0</v>
      </c>
    </row>
    <row r="79" spans="1:3" ht="15.75" customHeight="1">
      <c r="A79" s="33" t="s">
        <v>1042</v>
      </c>
      <c r="B79" s="33" t="s">
        <v>565</v>
      </c>
      <c r="C79" s="232">
        <f>IF(ISNA(VLOOKUP($B79,Eingabe!$A$1:$B$180,2,FALSE)),,VLOOKUP($B79,Eingabe!$A$1:$B$180,2,FALSE))</f>
        <v>0</v>
      </c>
    </row>
    <row r="80" spans="1:3" ht="15.75" customHeight="1">
      <c r="A80" s="33" t="s">
        <v>1043</v>
      </c>
      <c r="B80" s="33" t="s">
        <v>566</v>
      </c>
      <c r="C80" s="232">
        <f>IF(ISNA(VLOOKUP($B80,Eingabe!$A$1:$B$180,2,FALSE)),,VLOOKUP($B80,Eingabe!$A$1:$B$180,2,FALSE))</f>
        <v>0</v>
      </c>
    </row>
    <row r="81" spans="1:3" ht="15.75" customHeight="1">
      <c r="A81" s="33" t="s">
        <v>179</v>
      </c>
      <c r="B81" s="33" t="s">
        <v>183</v>
      </c>
      <c r="C81" s="232">
        <f>IF(ISNA(VLOOKUP($B81,Eingabe!$A$1:$B$180,2,FALSE)),,VLOOKUP($B81,Eingabe!$A$1:$B$180,2,FALSE))</f>
        <v>0</v>
      </c>
    </row>
    <row r="82" spans="1:3" ht="15.75" customHeight="1">
      <c r="A82" s="33" t="s">
        <v>1047</v>
      </c>
      <c r="B82" s="33" t="s">
        <v>567</v>
      </c>
      <c r="C82" s="232">
        <f>IF(ISNA(VLOOKUP($B82,Eingabe!$A$1:$B$180,2,FALSE)),,VLOOKUP($B82,Eingabe!$A$1:$B$180,2,FALSE))</f>
        <v>0</v>
      </c>
    </row>
    <row r="83" spans="1:3" ht="15.75" customHeight="1">
      <c r="A83" s="33" t="s">
        <v>1048</v>
      </c>
      <c r="B83" s="33" t="s">
        <v>569</v>
      </c>
      <c r="C83" s="232">
        <f>IF(ISNA(VLOOKUP($B83,Eingabe!$A$1:$B$180,2,FALSE)),,VLOOKUP($B83,Eingabe!$A$1:$B$180,2,FALSE))</f>
        <v>0</v>
      </c>
    </row>
    <row r="84" spans="1:3" ht="15.75" customHeight="1">
      <c r="A84" s="33" t="s">
        <v>1049</v>
      </c>
      <c r="B84" s="33" t="s">
        <v>570</v>
      </c>
      <c r="C84" s="232">
        <f>IF(ISNA(VLOOKUP($B84,Eingabe!$A$1:$B$180,2,FALSE)),,VLOOKUP($B84,Eingabe!$A$1:$B$180,2,FALSE))</f>
        <v>0</v>
      </c>
    </row>
    <row r="85" spans="1:3" ht="15.75" customHeight="1">
      <c r="A85" s="33" t="s">
        <v>1050</v>
      </c>
      <c r="B85" s="33" t="s">
        <v>571</v>
      </c>
      <c r="C85" s="232">
        <f>IF(ISNA(VLOOKUP($B85,Eingabe!$A$1:$B$180,2,FALSE)),,VLOOKUP($B85,Eingabe!$A$1:$B$180,2,FALSE))</f>
        <v>0</v>
      </c>
    </row>
    <row r="86" spans="1:3" ht="15.75" customHeight="1">
      <c r="A86" s="33" t="s">
        <v>850</v>
      </c>
      <c r="B86" s="33" t="s">
        <v>849</v>
      </c>
      <c r="C86" s="232">
        <f>IF(ISNA(VLOOKUP($B86,Eingabe!$A$1:$B$180,2,FALSE)),,VLOOKUP($B86,Eingabe!$A$1:$B$180,2,FALSE))</f>
        <v>0</v>
      </c>
    </row>
    <row r="87" spans="1:3" ht="15.75" customHeight="1">
      <c r="A87" s="33" t="s">
        <v>1047</v>
      </c>
      <c r="B87" s="33" t="s">
        <v>568</v>
      </c>
      <c r="C87" s="232">
        <f>IF(ISNA(VLOOKUP($B87,Eingabe!$A$1:$B$180,2,FALSE)),,VLOOKUP($B87,Eingabe!$A$1:$B$180,2,FALSE))</f>
        <v>0</v>
      </c>
    </row>
    <row r="88" spans="1:3" ht="15.75" customHeight="1">
      <c r="A88" s="33" t="s">
        <v>1048</v>
      </c>
      <c r="B88" s="33" t="s">
        <v>572</v>
      </c>
      <c r="C88" s="232">
        <f>IF(ISNA(VLOOKUP($B88,Eingabe!$A$1:$B$180,2,FALSE)),,VLOOKUP($B88,Eingabe!$A$1:$B$180,2,FALSE))</f>
        <v>0</v>
      </c>
    </row>
    <row r="89" spans="1:3" ht="15.75" customHeight="1">
      <c r="A89" s="33" t="s">
        <v>1049</v>
      </c>
      <c r="B89" s="33" t="s">
        <v>573</v>
      </c>
      <c r="C89" s="232">
        <f>IF(ISNA(VLOOKUP($B89,Eingabe!$A$1:$B$180,2,FALSE)),,VLOOKUP($B89,Eingabe!$A$1:$B$180,2,FALSE))</f>
        <v>0</v>
      </c>
    </row>
    <row r="90" spans="1:3" ht="15.75" customHeight="1">
      <c r="A90" s="33" t="s">
        <v>1050</v>
      </c>
      <c r="B90" s="33" t="s">
        <v>574</v>
      </c>
      <c r="C90" s="232">
        <f>IF(ISNA(VLOOKUP($B90,Eingabe!$A$1:$B$180,2,FALSE)),,VLOOKUP($B90,Eingabe!$A$1:$B$180,2,FALSE))</f>
        <v>0</v>
      </c>
    </row>
    <row r="91" spans="1:3" ht="15.75" customHeight="1">
      <c r="A91" s="33" t="s">
        <v>850</v>
      </c>
      <c r="B91" s="33" t="s">
        <v>851</v>
      </c>
      <c r="C91" s="232">
        <f>IF(ISNA(VLOOKUP($B91,Eingabe!$A$1:$B$180,2,FALSE)),,VLOOKUP($B91,Eingabe!$A$1:$B$180,2,FALSE))</f>
        <v>0</v>
      </c>
    </row>
    <row r="92" spans="1:3" ht="15.75" customHeight="1">
      <c r="A92" s="33" t="s">
        <v>1047</v>
      </c>
      <c r="B92" s="33" t="s">
        <v>575</v>
      </c>
      <c r="C92" s="232">
        <f>IF(ISNA(VLOOKUP($B92,Eingabe!$A$1:$B$180,2,FALSE)),,VLOOKUP($B92,Eingabe!$A$1:$B$180,2,FALSE))</f>
        <v>0</v>
      </c>
    </row>
    <row r="93" spans="1:3" ht="15.75" customHeight="1">
      <c r="A93" s="33" t="s">
        <v>1051</v>
      </c>
      <c r="B93" s="33" t="s">
        <v>576</v>
      </c>
      <c r="C93" s="232">
        <f>IF(ISNA(VLOOKUP($B93,Eingabe!$A$1:$B$180,2,FALSE)),,VLOOKUP($B93,Eingabe!$A$1:$B$180,2,FALSE))</f>
        <v>0</v>
      </c>
    </row>
    <row r="94" spans="1:3" ht="15.75" customHeight="1">
      <c r="A94" s="33" t="s">
        <v>1048</v>
      </c>
      <c r="B94" s="33" t="s">
        <v>577</v>
      </c>
      <c r="C94" s="232">
        <f>IF(ISNA(VLOOKUP($B94,Eingabe!$A$1:$B$180,2,FALSE)),,VLOOKUP($B94,Eingabe!$A$1:$B$180,2,FALSE))</f>
        <v>0</v>
      </c>
    </row>
    <row r="95" spans="1:3" ht="15.75" customHeight="1">
      <c r="A95" s="33" t="s">
        <v>1052</v>
      </c>
      <c r="B95" s="33" t="s">
        <v>578</v>
      </c>
      <c r="C95" s="232">
        <f>IF(ISNA(VLOOKUP($B95,Eingabe!$A$1:$B$180,2,FALSE)),,VLOOKUP($B95,Eingabe!$A$1:$B$180,2,FALSE))</f>
        <v>0</v>
      </c>
    </row>
    <row r="96" spans="1:3" ht="15.75" customHeight="1">
      <c r="A96" s="33" t="s">
        <v>1053</v>
      </c>
      <c r="B96" s="33" t="s">
        <v>579</v>
      </c>
      <c r="C96" s="232">
        <f>IF(ISNA(VLOOKUP($B96,Eingabe!$A$1:$B$180,2,FALSE)),,VLOOKUP($B96,Eingabe!$A$1:$B$180,2,FALSE))</f>
        <v>0</v>
      </c>
    </row>
    <row r="97" spans="1:3" ht="15.75" customHeight="1">
      <c r="A97" s="33" t="s">
        <v>1054</v>
      </c>
      <c r="B97" s="33" t="s">
        <v>580</v>
      </c>
      <c r="C97" s="232">
        <f>IF(ISNA(VLOOKUP($B97,Eingabe!$A$1:$B$180,2,FALSE)),,VLOOKUP($B97,Eingabe!$A$1:$B$180,2,FALSE))</f>
        <v>0</v>
      </c>
    </row>
    <row r="98" spans="1:3" ht="15.75" customHeight="1">
      <c r="A98" s="33" t="s">
        <v>1055</v>
      </c>
      <c r="B98" s="33" t="s">
        <v>581</v>
      </c>
      <c r="C98" s="232">
        <f>IF(ISNA(VLOOKUP($B98,Eingabe!$A$1:$B$180,2,FALSE)),,VLOOKUP($B98,Eingabe!$A$1:$B$180,2,FALSE))</f>
        <v>0</v>
      </c>
    </row>
    <row r="99" spans="1:3" ht="15.75" customHeight="1">
      <c r="A99" s="223" t="s">
        <v>1056</v>
      </c>
      <c r="B99" s="223"/>
      <c r="C99" s="232">
        <f>IF(ISNA(VLOOKUP($B99,Eingabe!$A$1:$B$180,2,FALSE)),,VLOOKUP($B99,Eingabe!$A$1:$B$180,2,FALSE))</f>
        <v>0</v>
      </c>
    </row>
    <row r="100" spans="1:3" ht="15.75" customHeight="1">
      <c r="A100" s="33" t="s">
        <v>1047</v>
      </c>
      <c r="B100" s="33" t="s">
        <v>582</v>
      </c>
      <c r="C100" s="232">
        <f>IF(ISNA(VLOOKUP($B100,Eingabe!$A$1:$B$180,2,FALSE)),,VLOOKUP($B100,Eingabe!$A$1:$B$180,2,FALSE))</f>
        <v>0</v>
      </c>
    </row>
    <row r="101" spans="1:3" ht="15.75" customHeight="1">
      <c r="A101" s="33" t="s">
        <v>1051</v>
      </c>
      <c r="B101" s="33" t="s">
        <v>583</v>
      </c>
      <c r="C101" s="232">
        <f>IF(ISNA(VLOOKUP($B101,Eingabe!$A$1:$B$180,2,FALSE)),,VLOOKUP($B101,Eingabe!$A$1:$B$180,2,FALSE))</f>
        <v>0</v>
      </c>
    </row>
    <row r="102" spans="1:3" ht="15.75" customHeight="1">
      <c r="A102" s="33" t="s">
        <v>1048</v>
      </c>
      <c r="B102" s="33" t="s">
        <v>584</v>
      </c>
      <c r="C102" s="232">
        <f>IF(ISNA(VLOOKUP($B102,Eingabe!$A$1:$B$180,2,FALSE)),,VLOOKUP($B102,Eingabe!$A$1:$B$180,2,FALSE))</f>
        <v>0</v>
      </c>
    </row>
    <row r="103" spans="1:3" ht="15.75" customHeight="1">
      <c r="A103" s="33" t="s">
        <v>1052</v>
      </c>
      <c r="B103" s="33" t="s">
        <v>585</v>
      </c>
      <c r="C103" s="232">
        <f>IF(ISNA(VLOOKUP($B103,Eingabe!$A$1:$B$180,2,FALSE)),,VLOOKUP($B103,Eingabe!$A$1:$B$180,2,FALSE))</f>
        <v>0</v>
      </c>
    </row>
    <row r="104" spans="1:3" ht="15.75" customHeight="1">
      <c r="A104" s="33" t="s">
        <v>1053</v>
      </c>
      <c r="B104" s="33" t="s">
        <v>586</v>
      </c>
      <c r="C104" s="232">
        <f>IF(ISNA(VLOOKUP($B104,Eingabe!$A$1:$B$180,2,FALSE)),,VLOOKUP($B104,Eingabe!$A$1:$B$180,2,FALSE))</f>
        <v>0</v>
      </c>
    </row>
    <row r="105" spans="1:3" ht="15.75" customHeight="1">
      <c r="A105" s="33" t="s">
        <v>1054</v>
      </c>
      <c r="B105" s="33" t="s">
        <v>587</v>
      </c>
      <c r="C105" s="232">
        <f>IF(ISNA(VLOOKUP($B105,Eingabe!$A$1:$B$180,2,FALSE)),,VLOOKUP($B105,Eingabe!$A$1:$B$180,2,FALSE))</f>
        <v>0</v>
      </c>
    </row>
    <row r="106" spans="1:3" ht="15.75" customHeight="1">
      <c r="A106" s="33" t="s">
        <v>1055</v>
      </c>
      <c r="B106" s="33" t="s">
        <v>588</v>
      </c>
      <c r="C106" s="232">
        <f>IF(ISNA(VLOOKUP($B106,Eingabe!$A$1:$B$180,2,FALSE)),,VLOOKUP($B106,Eingabe!$A$1:$B$180,2,FALSE))</f>
        <v>0</v>
      </c>
    </row>
    <row r="107" spans="1:3" ht="15.75" customHeight="1">
      <c r="A107" s="223" t="s">
        <v>1057</v>
      </c>
      <c r="B107" s="223"/>
      <c r="C107" s="232">
        <f>IF(ISNA(VLOOKUP($B107,Eingabe!$A$1:$B$180,2,FALSE)),,VLOOKUP($B107,Eingabe!$A$1:$B$180,2,FALSE))</f>
        <v>0</v>
      </c>
    </row>
    <row r="108" spans="1:3" ht="15.75" customHeight="1">
      <c r="A108" s="33" t="s">
        <v>1047</v>
      </c>
      <c r="B108" s="33" t="s">
        <v>589</v>
      </c>
      <c r="C108" s="232">
        <f>IF(ISNA(VLOOKUP($B108,Eingabe!$A$1:$B$180,2,FALSE)),,VLOOKUP($B108,Eingabe!$A$1:$B$180,2,FALSE))</f>
        <v>0</v>
      </c>
    </row>
    <row r="109" spans="1:3" ht="15.75" customHeight="1">
      <c r="A109" s="33" t="s">
        <v>1058</v>
      </c>
      <c r="B109" s="33" t="s">
        <v>590</v>
      </c>
      <c r="C109" s="232">
        <f>IF(ISNA(VLOOKUP($B109,Eingabe!$A$1:$B$180,2,FALSE)),,VLOOKUP($B109,Eingabe!$A$1:$B$180,2,FALSE))</f>
        <v>0</v>
      </c>
    </row>
    <row r="110" spans="1:3" ht="15.75" customHeight="1">
      <c r="A110" s="33" t="s">
        <v>1059</v>
      </c>
      <c r="B110" s="33" t="s">
        <v>591</v>
      </c>
      <c r="C110" s="232">
        <f>IF(ISNA(VLOOKUP($B110,Eingabe!$A$1:$B$180,2,FALSE)),,VLOOKUP($B110,Eingabe!$A$1:$B$180,2,FALSE))</f>
        <v>0</v>
      </c>
    </row>
    <row r="111" spans="1:3" ht="15.75" customHeight="1">
      <c r="A111" s="223" t="s">
        <v>1060</v>
      </c>
      <c r="B111" s="223"/>
      <c r="C111" s="232">
        <f>IF(ISNA(VLOOKUP($B111,Eingabe!$A$1:$B$180,2,FALSE)),,VLOOKUP($B111,Eingabe!$A$1:$B$180,2,FALSE))</f>
        <v>0</v>
      </c>
    </row>
    <row r="112" spans="1:3" ht="15.75" customHeight="1">
      <c r="A112" s="33" t="s">
        <v>1047</v>
      </c>
      <c r="B112" s="33" t="s">
        <v>592</v>
      </c>
      <c r="C112" s="232">
        <f>IF(ISNA(VLOOKUP($B112,Eingabe!$A$1:$B$180,2,FALSE)),,VLOOKUP($B112,Eingabe!$A$1:$B$180,2,FALSE))</f>
        <v>0</v>
      </c>
    </row>
    <row r="113" spans="1:3" ht="15.75" customHeight="1">
      <c r="A113" s="33" t="s">
        <v>1058</v>
      </c>
      <c r="B113" s="33" t="s">
        <v>106</v>
      </c>
      <c r="C113" s="232">
        <f>IF(ISNA(VLOOKUP($B113,Eingabe!$A$1:$B$180,2,FALSE)),,VLOOKUP($B113,Eingabe!$A$1:$B$180,2,FALSE))</f>
        <v>0</v>
      </c>
    </row>
    <row r="114" spans="1:3" ht="15.75" customHeight="1">
      <c r="A114" s="33" t="s">
        <v>1059</v>
      </c>
      <c r="B114" s="33" t="s">
        <v>107</v>
      </c>
      <c r="C114" s="232">
        <f>IF(ISNA(VLOOKUP($B114,Eingabe!$A$1:$B$180,2,FALSE)),,VLOOKUP($B114,Eingabe!$A$1:$B$180,2,FALSE))</f>
        <v>0</v>
      </c>
    </row>
    <row r="115" spans="1:3" ht="15.75" customHeight="1">
      <c r="A115" s="223" t="s">
        <v>1061</v>
      </c>
      <c r="B115" s="223"/>
      <c r="C115" s="232">
        <f>IF(ISNA(VLOOKUP($B115,Eingabe!$A$1:$B$180,2,FALSE)),,VLOOKUP($B115,Eingabe!$A$1:$B$180,2,FALSE))</f>
        <v>0</v>
      </c>
    </row>
    <row r="116" spans="1:3" ht="15.75" customHeight="1">
      <c r="A116" s="33" t="s">
        <v>1047</v>
      </c>
      <c r="B116" s="33" t="s">
        <v>108</v>
      </c>
      <c r="C116" s="232">
        <f>IF(ISNA(VLOOKUP($B116,Eingabe!$A$1:$B$180,2,FALSE)),,VLOOKUP($B116,Eingabe!$A$1:$B$180,2,FALSE))</f>
        <v>0</v>
      </c>
    </row>
    <row r="117" spans="1:3" ht="15.75" customHeight="1">
      <c r="A117" s="33" t="s">
        <v>1059</v>
      </c>
      <c r="B117" s="33" t="s">
        <v>109</v>
      </c>
      <c r="C117" s="232">
        <f>IF(ISNA(VLOOKUP($B117,Eingabe!$A$1:$B$180,2,FALSE)),,VLOOKUP($B117,Eingabe!$A$1:$B$180,2,FALSE))</f>
        <v>0</v>
      </c>
    </row>
    <row r="118" spans="1:3" ht="15.75" customHeight="1">
      <c r="A118" s="33" t="s">
        <v>1062</v>
      </c>
      <c r="B118" s="33" t="s">
        <v>110</v>
      </c>
      <c r="C118" s="232">
        <f>IF(ISNA(VLOOKUP($B118,Eingabe!$A$1:$B$180,2,FALSE)),,VLOOKUP($B118,Eingabe!$A$1:$B$180,2,FALSE))</f>
        <v>0</v>
      </c>
    </row>
    <row r="119" spans="1:3" ht="15.75" customHeight="1">
      <c r="A119" s="223" t="s">
        <v>1063</v>
      </c>
      <c r="B119" s="223"/>
      <c r="C119" s="232">
        <f>IF(ISNA(VLOOKUP($B119,Eingabe!$A$1:$B$180,2,FALSE)),,VLOOKUP($B119,Eingabe!$A$1:$B$180,2,FALSE))</f>
        <v>0</v>
      </c>
    </row>
    <row r="120" spans="1:3" ht="15.75" customHeight="1">
      <c r="A120" s="33" t="s">
        <v>1047</v>
      </c>
      <c r="B120" s="33" t="s">
        <v>111</v>
      </c>
      <c r="C120" s="232">
        <f>IF(ISNA(VLOOKUP($B120,Eingabe!$A$1:$B$180,2,FALSE)),,VLOOKUP($B120,Eingabe!$A$1:$B$180,2,FALSE))</f>
        <v>0</v>
      </c>
    </row>
    <row r="121" spans="1:3" ht="15.75" customHeight="1">
      <c r="A121" s="33" t="s">
        <v>1059</v>
      </c>
      <c r="B121" s="33" t="s">
        <v>112</v>
      </c>
      <c r="C121" s="232">
        <f>IF(ISNA(VLOOKUP($B121,Eingabe!$A$1:$B$180,2,FALSE)),,VLOOKUP($B121,Eingabe!$A$1:$B$180,2,FALSE))</f>
        <v>0</v>
      </c>
    </row>
    <row r="122" spans="1:3" ht="15.75" customHeight="1">
      <c r="A122" s="33" t="s">
        <v>1062</v>
      </c>
      <c r="B122" s="33" t="s">
        <v>113</v>
      </c>
      <c r="C122" s="232">
        <f>IF(ISNA(VLOOKUP($B122,Eingabe!$A$1:$B$180,2,FALSE)),,VLOOKUP($B122,Eingabe!$A$1:$B$180,2,FALSE))</f>
        <v>0</v>
      </c>
    </row>
    <row r="123" spans="1:3" ht="15.75" customHeight="1">
      <c r="A123" s="223" t="s">
        <v>1064</v>
      </c>
      <c r="B123" s="223"/>
      <c r="C123" s="232">
        <f>IF(ISNA(VLOOKUP($B123,Eingabe!$A$1:$B$180,2,FALSE)),,VLOOKUP($B123,Eingabe!$A$1:$B$180,2,FALSE))</f>
        <v>0</v>
      </c>
    </row>
    <row r="124" spans="1:3" ht="15.75" customHeight="1">
      <c r="A124" s="33" t="s">
        <v>1047</v>
      </c>
      <c r="B124" s="33" t="s">
        <v>114</v>
      </c>
      <c r="C124" s="232">
        <f>IF(ISNA(VLOOKUP($B124,Eingabe!$A$1:$B$180,2,FALSE)),,VLOOKUP($B124,Eingabe!$A$1:$B$180,2,FALSE))</f>
        <v>0</v>
      </c>
    </row>
    <row r="125" spans="1:3" ht="15.75" customHeight="1">
      <c r="A125" s="33" t="s">
        <v>1059</v>
      </c>
      <c r="B125" s="33" t="s">
        <v>115</v>
      </c>
      <c r="C125" s="232">
        <f>IF(ISNA(VLOOKUP($B125,Eingabe!$A$1:$B$180,2,FALSE)),,VLOOKUP($B125,Eingabe!$A$1:$B$180,2,FALSE))</f>
        <v>0</v>
      </c>
    </row>
    <row r="126" spans="1:3" ht="15.75" customHeight="1">
      <c r="A126" s="33" t="s">
        <v>1065</v>
      </c>
      <c r="B126" s="33" t="s">
        <v>116</v>
      </c>
      <c r="C126" s="232">
        <f>IF(ISNA(VLOOKUP($B126,Eingabe!$A$1:$B$180,2,FALSE)),,VLOOKUP($B126,Eingabe!$A$1:$B$180,2,FALSE))</f>
        <v>0</v>
      </c>
    </row>
    <row r="127" spans="1:3" ht="15.75" customHeight="1">
      <c r="A127" s="33" t="s">
        <v>1062</v>
      </c>
      <c r="B127" s="33" t="s">
        <v>117</v>
      </c>
      <c r="C127" s="232">
        <f>IF(ISNA(VLOOKUP($B127,Eingabe!$A$1:$B$180,2,FALSE)),,VLOOKUP($B127,Eingabe!$A$1:$B$180,2,FALSE))</f>
        <v>0</v>
      </c>
    </row>
    <row r="128" spans="1:3" ht="15.75" customHeight="1">
      <c r="A128" s="33" t="s">
        <v>1066</v>
      </c>
      <c r="B128" s="33" t="s">
        <v>118</v>
      </c>
      <c r="C128" s="232">
        <f>IF(ISNA(VLOOKUP($B128,Eingabe!$A$1:$B$180,2,FALSE)),,VLOOKUP($B128,Eingabe!$A$1:$B$180,2,FALSE))</f>
        <v>0</v>
      </c>
    </row>
    <row r="129" spans="1:3" ht="15.75" customHeight="1">
      <c r="A129" s="223" t="s">
        <v>1067</v>
      </c>
      <c r="B129" s="223"/>
      <c r="C129" s="232">
        <f>IF(ISNA(VLOOKUP($B129,Eingabe!$A$1:$B$180,2,FALSE)),,VLOOKUP($B129,Eingabe!$A$1:$B$180,2,FALSE))</f>
        <v>0</v>
      </c>
    </row>
    <row r="130" spans="1:3" ht="15.75" customHeight="1">
      <c r="A130" s="33" t="s">
        <v>1047</v>
      </c>
      <c r="B130" s="33" t="s">
        <v>120</v>
      </c>
      <c r="C130" s="232">
        <f>IF(ISNA(VLOOKUP($B130,Eingabe!$A$1:$B$180,2,FALSE)),,VLOOKUP($B130,Eingabe!$A$1:$B$180,2,FALSE))</f>
        <v>0</v>
      </c>
    </row>
    <row r="131" spans="1:3" ht="15.75" customHeight="1">
      <c r="A131" s="33" t="s">
        <v>1059</v>
      </c>
      <c r="B131" s="33" t="s">
        <v>119</v>
      </c>
      <c r="C131" s="232">
        <f>IF(ISNA(VLOOKUP($B131,Eingabe!$A$1:$B$180,2,FALSE)),,VLOOKUP($B131,Eingabe!$A$1:$B$180,2,FALSE))</f>
        <v>0</v>
      </c>
    </row>
    <row r="132" spans="1:3" ht="15.75" customHeight="1">
      <c r="A132" s="33" t="s">
        <v>1065</v>
      </c>
      <c r="B132" s="33" t="s">
        <v>121</v>
      </c>
      <c r="C132" s="232">
        <f>IF(ISNA(VLOOKUP($B132,Eingabe!$A$1:$B$180,2,FALSE)),,VLOOKUP($B132,Eingabe!$A$1:$B$180,2,FALSE))</f>
        <v>0</v>
      </c>
    </row>
    <row r="133" spans="1:3" ht="15.75" customHeight="1">
      <c r="A133" s="33" t="s">
        <v>1062</v>
      </c>
      <c r="B133" s="33" t="s">
        <v>122</v>
      </c>
      <c r="C133" s="232">
        <f>IF(ISNA(VLOOKUP($B133,Eingabe!$A$1:$B$180,2,FALSE)),,VLOOKUP($B133,Eingabe!$A$1:$B$180,2,FALSE))</f>
        <v>0</v>
      </c>
    </row>
    <row r="134" spans="1:3" ht="15.75" customHeight="1">
      <c r="A134" s="33" t="s">
        <v>1066</v>
      </c>
      <c r="B134" s="33" t="s">
        <v>123</v>
      </c>
      <c r="C134" s="232">
        <f>IF(ISNA(VLOOKUP($B134,Eingabe!$A$1:$B$180,2,FALSE)),,VLOOKUP($B134,Eingabe!$A$1:$B$180,2,FALSE))</f>
        <v>0</v>
      </c>
    </row>
    <row r="135" spans="1:3" ht="15.75" customHeight="1">
      <c r="A135" s="223"/>
      <c r="C135" s="232">
        <f>IF(ISNA(VLOOKUP($B135,Eingabe!$A$1:$B$180,2,FALSE)),,VLOOKUP($B135,Eingabe!$A$1:$B$180,2,FALSE))</f>
        <v>0</v>
      </c>
    </row>
    <row r="136" ht="15.75" customHeight="1">
      <c r="C136" s="232">
        <f>IF(ISNA(VLOOKUP($B136,Eingabe!$A$1:$B$180,2,FALSE)),,VLOOKUP($B136,Eingabe!$A$1:$B$180,2,FALSE))</f>
        <v>0</v>
      </c>
    </row>
    <row r="137" ht="15.75" customHeight="1">
      <c r="C137" s="232">
        <f>IF(ISNA(VLOOKUP($B137,Eingabe!$A$1:$B$180,2,FALSE)),,VLOOKUP($B137,Eingabe!$A$1:$B$180,2,FALSE))</f>
        <v>0</v>
      </c>
    </row>
    <row r="138" ht="15.75" customHeight="1">
      <c r="C138" s="232">
        <f>IF(ISNA(VLOOKUP($B138,Eingabe!$A$1:$B$180,2,FALSE)),,VLOOKUP($B138,Eingabe!$A$1:$B$180,2,FALSE))</f>
        <v>0</v>
      </c>
    </row>
    <row r="139" ht="15.75" customHeight="1">
      <c r="C139" s="232">
        <f>IF(ISNA(VLOOKUP($B139,Eingabe!$A$1:$B$180,2,FALSE)),,VLOOKUP($B139,Eingabe!$A$1:$B$180,2,FALSE))</f>
        <v>0</v>
      </c>
    </row>
    <row r="140" ht="15.75" customHeight="1">
      <c r="C140" s="232">
        <f>IF(ISNA(VLOOKUP($B140,Eingabe!$A$1:$B$180,2,FALSE)),,VLOOKUP($B140,Eingabe!$A$1:$B$180,2,FALSE))</f>
        <v>0</v>
      </c>
    </row>
    <row r="141" ht="15.75" customHeight="1">
      <c r="C141" s="232">
        <f>IF(ISNA(VLOOKUP($B141,Eingabe!$A$1:$B$180,2,FALSE)),,VLOOKUP($B141,Eingabe!$A$1:$B$180,2,FALSE))</f>
        <v>0</v>
      </c>
    </row>
    <row r="142" ht="15.75" customHeight="1">
      <c r="C142" s="232">
        <f>IF(ISNA(VLOOKUP($B142,Eingabe!$A$1:$B$180,2,FALSE)),,VLOOKUP($B142,Eingabe!$A$1:$B$180,2,FALSE))</f>
        <v>0</v>
      </c>
    </row>
    <row r="143" ht="15.75" customHeight="1">
      <c r="C143" s="232">
        <f>IF(ISNA(VLOOKUP($B143,Eingabe!$A$1:$B$180,2,FALSE)),,VLOOKUP($B143,Eingabe!$A$1:$B$180,2,FALSE))</f>
        <v>0</v>
      </c>
    </row>
    <row r="144" ht="15.75" customHeight="1">
      <c r="C144" s="232">
        <f>IF(ISNA(VLOOKUP($B144,Eingabe!$A$1:$B$180,2,FALSE)),,VLOOKUP($B144,Eingabe!$A$1:$B$180,2,FALSE))</f>
        <v>0</v>
      </c>
    </row>
    <row r="145" ht="15.75" customHeight="1">
      <c r="C145" s="232">
        <f>IF(ISNA(VLOOKUP($B145,Eingabe!$A$1:$B$180,2,FALSE)),,VLOOKUP($B145,Eingabe!$A$1:$B$180,2,FALSE))</f>
        <v>0</v>
      </c>
    </row>
    <row r="146" ht="15.75" customHeight="1">
      <c r="C146" s="232">
        <f>IF(ISNA(VLOOKUP($B146,Eingabe!$A$1:$B$180,2,FALSE)),,VLOOKUP($B146,Eingabe!$A$1:$B$180,2,FALSE))</f>
        <v>0</v>
      </c>
    </row>
    <row r="147" ht="15.75" customHeight="1">
      <c r="C147" s="232">
        <f>IF(ISNA(VLOOKUP($B147,Eingabe!$A$1:$B$180,2,FALSE)),,VLOOKUP($B147,Eingabe!$A$1:$B$180,2,FALSE))</f>
        <v>0</v>
      </c>
    </row>
    <row r="148" ht="15.75" customHeight="1">
      <c r="C148" s="232">
        <f>IF(ISNA(VLOOKUP($B148,Eingabe!$A$1:$B$180,2,FALSE)),,VLOOKUP($B148,Eingabe!$A$1:$B$180,2,FALSE))</f>
        <v>0</v>
      </c>
    </row>
    <row r="149" ht="15.75" customHeight="1">
      <c r="C149" s="232">
        <f>IF(ISNA(VLOOKUP($B149,Eingabe!$A$1:$B$180,2,FALSE)),,VLOOKUP($B149,Eingabe!$A$1:$B$180,2,FALSE))</f>
        <v>0</v>
      </c>
    </row>
    <row r="150" ht="15.75" customHeight="1">
      <c r="C150" s="232">
        <f>IF(ISNA(VLOOKUP($B150,Eingabe!$A$1:$B$180,2,FALSE)),,VLOOKUP($B150,Eingabe!$A$1:$B$180,2,FALSE))</f>
        <v>0</v>
      </c>
    </row>
    <row r="151" ht="15.75" customHeight="1">
      <c r="C151" s="232">
        <f>IF(ISNA(VLOOKUP($B151,Eingabe!$A$1:$B$180,2,FALSE)),,VLOOKUP($B151,Eingabe!$A$1:$B$180,2,FALSE))</f>
        <v>0</v>
      </c>
    </row>
    <row r="152" ht="15.75" customHeight="1">
      <c r="C152" s="232">
        <f>IF(ISNA(VLOOKUP($B152,Eingabe!$A$1:$B$180,2,FALSE)),,VLOOKUP($B152,Eingabe!$A$1:$B$180,2,FALSE))</f>
        <v>0</v>
      </c>
    </row>
    <row r="153" ht="15.75" customHeight="1">
      <c r="C153" s="232">
        <f>IF(ISNA(VLOOKUP($B153,Eingabe!$A$1:$B$180,2,FALSE)),,VLOOKUP($B153,Eingabe!$A$1:$B$180,2,FALSE))</f>
        <v>0</v>
      </c>
    </row>
    <row r="154" ht="15.75" customHeight="1">
      <c r="C154" s="232">
        <f>IF(ISNA(VLOOKUP($B154,Eingabe!$A$1:$B$180,2,FALSE)),,VLOOKUP($B154,Eingabe!$A$1:$B$180,2,FALSE))</f>
        <v>0</v>
      </c>
    </row>
    <row r="155" ht="15.75" customHeight="1">
      <c r="C155" s="232">
        <f>IF(ISNA(VLOOKUP($B155,Eingabe!$A$1:$B$180,2,FALSE)),,VLOOKUP($B155,Eingabe!$A$1:$B$180,2,FALSE))</f>
        <v>0</v>
      </c>
    </row>
    <row r="156" ht="15.75" customHeight="1">
      <c r="C156" s="232">
        <f>IF(ISNA(VLOOKUP($B156,Eingabe!$A$1:$B$180,2,FALSE)),,VLOOKUP($B156,Eingabe!$A$1:$B$180,2,FALSE))</f>
        <v>0</v>
      </c>
    </row>
    <row r="157" ht="15.75" customHeight="1">
      <c r="C157" s="232">
        <f>IF(ISNA(VLOOKUP($B157,Eingabe!$A$1:$B$180,2,FALSE)),,VLOOKUP($B157,Eingabe!$A$1:$B$180,2,FALSE))</f>
        <v>0</v>
      </c>
    </row>
    <row r="158" ht="15.75" customHeight="1">
      <c r="C158" s="232">
        <f>IF(ISNA(VLOOKUP($B158,Eingabe!$A$1:$B$180,2,FALSE)),,VLOOKUP($B158,Eingabe!$A$1:$B$180,2,FALSE))</f>
        <v>0</v>
      </c>
    </row>
    <row r="159" ht="15.75" customHeight="1">
      <c r="C159" s="232">
        <f>IF(ISNA(VLOOKUP($B159,Eingabe!$A$1:$B$180,2,FALSE)),,VLOOKUP($B159,Eingabe!$A$1:$B$180,2,FALSE))</f>
        <v>0</v>
      </c>
    </row>
    <row r="160" ht="15.75" customHeight="1">
      <c r="C160" s="232">
        <f>IF(ISNA(VLOOKUP($B160,Eingabe!$A$1:$B$180,2,FALSE)),,VLOOKUP($B160,Eingabe!$A$1:$B$180,2,FALSE))</f>
        <v>0</v>
      </c>
    </row>
    <row r="161" ht="15.75" customHeight="1">
      <c r="C161" s="232">
        <f>IF(ISNA(VLOOKUP($B161,Eingabe!$A$1:$B$180,2,FALSE)),,VLOOKUP($B161,Eingabe!$A$1:$B$180,2,FALSE))</f>
        <v>0</v>
      </c>
    </row>
    <row r="162" spans="1:3" ht="15.75" customHeight="1">
      <c r="A162" s="223" t="s">
        <v>768</v>
      </c>
      <c r="C162" s="232">
        <f>IF(ISNA(VLOOKUP($B162,Eingabe!$A$1:$B$180,2,FALSE)),,VLOOKUP($B162,Eingabe!$A$1:$B$180,2,FALSE))</f>
        <v>0</v>
      </c>
    </row>
    <row r="163" spans="1:3" ht="15.75" customHeight="1">
      <c r="A163" s="33" t="s">
        <v>770</v>
      </c>
      <c r="B163" s="33" t="s">
        <v>769</v>
      </c>
      <c r="C163" s="232">
        <f>IF(ISNA(VLOOKUP($B163,Eingabe!$A$1:$B$180,2,FALSE)),,VLOOKUP($B163,Eingabe!$A$1:$B$180,2,FALSE))</f>
        <v>0</v>
      </c>
    </row>
    <row r="164" spans="1:3" ht="15.75" customHeight="1">
      <c r="A164" s="33" t="s">
        <v>771</v>
      </c>
      <c r="B164" s="33" t="s">
        <v>774</v>
      </c>
      <c r="C164" s="232">
        <f>IF(ISNA(VLOOKUP($B164,Eingabe!$A$1:$B$180,2,FALSE)),,VLOOKUP($B164,Eingabe!$A$1:$B$180,2,FALSE))</f>
        <v>0</v>
      </c>
    </row>
    <row r="165" spans="1:3" ht="15.75" customHeight="1">
      <c r="A165" s="33" t="s">
        <v>772</v>
      </c>
      <c r="B165" s="33" t="s">
        <v>775</v>
      </c>
      <c r="C165" s="232">
        <f>IF(ISNA(VLOOKUP($B165,Eingabe!$A$1:$B$180,2,FALSE)),,VLOOKUP($B165,Eingabe!$A$1:$B$180,2,FALSE))</f>
        <v>0</v>
      </c>
    </row>
    <row r="166" spans="1:3" ht="15.75" customHeight="1">
      <c r="A166" s="33" t="s">
        <v>773</v>
      </c>
      <c r="B166" s="33" t="s">
        <v>776</v>
      </c>
      <c r="C166" s="232">
        <f>IF(ISNA(VLOOKUP($B166,Eingabe!$A$1:$B$180,2,FALSE)),,VLOOKUP($B166,Eingabe!$A$1:$B$180,2,FALSE))</f>
        <v>0</v>
      </c>
    </row>
    <row r="167" spans="1:3" ht="15.75" customHeight="1">
      <c r="A167" s="223"/>
      <c r="C167" s="232">
        <f>IF(ISNA(VLOOKUP($B167,Eingabe!$A$1:$B$180,2,FALSE)),,VLOOKUP($B167,Eingabe!$A$1:$B$180,2,FALSE))</f>
        <v>0</v>
      </c>
    </row>
    <row r="168" spans="1:3" ht="15.75" customHeight="1">
      <c r="A168" s="223" t="s">
        <v>860</v>
      </c>
      <c r="C168" s="232">
        <f>IF(ISNA(VLOOKUP($B168,Eingabe!$A$1:$B$180,2,FALSE)),,VLOOKUP($B168,Eingabe!$A$1:$B$180,2,FALSE))</f>
        <v>0</v>
      </c>
    </row>
    <row r="169" spans="1:3" ht="15.75" customHeight="1">
      <c r="A169" s="33" t="s">
        <v>861</v>
      </c>
      <c r="B169" s="33" t="s">
        <v>852</v>
      </c>
      <c r="C169" s="232">
        <f>IF(ISNA(VLOOKUP($B169,Eingabe!$A$1:$B$180,2,FALSE)),,VLOOKUP($B169,Eingabe!$A$1:$B$180,2,FALSE))</f>
        <v>0</v>
      </c>
    </row>
    <row r="170" spans="1:3" ht="15.75" customHeight="1">
      <c r="A170" s="33" t="s">
        <v>863</v>
      </c>
      <c r="B170" s="33" t="s">
        <v>853</v>
      </c>
      <c r="C170" s="232">
        <f>IF(ISNA(VLOOKUP($B170,Eingabe!$A$1:$B$180,2,FALSE)),,VLOOKUP($B170,Eingabe!$A$1:$B$180,2,FALSE))</f>
        <v>0</v>
      </c>
    </row>
    <row r="171" spans="1:3" ht="15.75" customHeight="1">
      <c r="A171" s="33" t="s">
        <v>865</v>
      </c>
      <c r="B171" s="33" t="s">
        <v>854</v>
      </c>
      <c r="C171" s="232">
        <f>IF(ISNA(VLOOKUP($B171,Eingabe!$A$1:$B$180,2,FALSE)),,VLOOKUP($B171,Eingabe!$A$1:$B$180,2,FALSE))</f>
        <v>0</v>
      </c>
    </row>
    <row r="172" spans="1:3" ht="15.75" customHeight="1">
      <c r="A172" s="33" t="s">
        <v>867</v>
      </c>
      <c r="B172" s="33" t="s">
        <v>855</v>
      </c>
      <c r="C172" s="232">
        <f>IF(ISNA(VLOOKUP($B172,Eingabe!$A$1:$B$180,2,FALSE)),,VLOOKUP($B172,Eingabe!$A$1:$B$180,2,FALSE))</f>
        <v>0</v>
      </c>
    </row>
    <row r="173" spans="1:3" ht="15.75" customHeight="1">
      <c r="A173" s="33" t="s">
        <v>862</v>
      </c>
      <c r="B173" s="33" t="s">
        <v>856</v>
      </c>
      <c r="C173" s="232">
        <f>IF(ISNA(VLOOKUP($B173,Eingabe!$A$1:$B$180,2,FALSE)),,VLOOKUP($B173,Eingabe!$A$1:$B$180,2,FALSE))</f>
        <v>0</v>
      </c>
    </row>
    <row r="174" spans="1:3" ht="15.75" customHeight="1">
      <c r="A174" s="33" t="s">
        <v>864</v>
      </c>
      <c r="B174" s="33" t="s">
        <v>857</v>
      </c>
      <c r="C174" s="232">
        <f>IF(ISNA(VLOOKUP($B174,Eingabe!$A$1:$B$180,2,FALSE)),,VLOOKUP($B174,Eingabe!$A$1:$B$180,2,FALSE))</f>
        <v>0</v>
      </c>
    </row>
    <row r="175" spans="1:3" ht="15.75" customHeight="1">
      <c r="A175" s="33" t="s">
        <v>866</v>
      </c>
      <c r="B175" s="33" t="s">
        <v>858</v>
      </c>
      <c r="C175" s="232">
        <f>IF(ISNA(VLOOKUP($B175,Eingabe!$A$1:$B$180,2,FALSE)),,VLOOKUP($B175,Eingabe!$A$1:$B$180,2,FALSE))</f>
        <v>0</v>
      </c>
    </row>
    <row r="176" spans="1:3" ht="15.75" customHeight="1">
      <c r="A176" s="33" t="s">
        <v>868</v>
      </c>
      <c r="B176" s="33" t="s">
        <v>859</v>
      </c>
      <c r="C176" s="232">
        <f>IF(ISNA(VLOOKUP($B176,Eingabe!$A$1:$B$180,2,FALSE)),,VLOOKUP($B176,Eingabe!$A$1:$B$180,2,FALSE))</f>
        <v>0</v>
      </c>
    </row>
    <row r="177" ht="15.75" customHeight="1">
      <c r="C177" s="232">
        <f>IF(ISNA(VLOOKUP($B177,Eingabe!$A$1:$B$180,2,FALSE)),,VLOOKUP($B177,Eingabe!$A$1:$B$180,2,FALSE))</f>
        <v>0</v>
      </c>
    </row>
    <row r="178" ht="15.75" customHeight="1">
      <c r="C178" s="232">
        <f>IF(ISNA(VLOOKUP($B178,Eingabe!$A$1:$B$180,2,FALSE)),,VLOOKUP($B178,Eingabe!$A$1:$B$180,2,FALSE))</f>
        <v>0</v>
      </c>
    </row>
    <row r="179" ht="15.75" customHeight="1">
      <c r="C179" s="232">
        <f>IF(ISNA(VLOOKUP($B179,Eingabe!$A$1:$B$180,2,FALSE)),,VLOOKUP($B179,Eingabe!$A$1:$B$180,2,FALSE))</f>
        <v>0</v>
      </c>
    </row>
    <row r="180" ht="15.75" customHeight="1">
      <c r="C180" s="232">
        <f>IF(ISNA(VLOOKUP($B180,Eingabe!$A$1:$B$180,2,FALSE)),,VLOOKUP($B180,Eingabe!$A$1:$B$180,2,FALSE))</f>
        <v>0</v>
      </c>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76"/>
  <sheetViews>
    <sheetView zoomScalePageLayoutView="0" workbookViewId="0" topLeftCell="A1">
      <selection activeCell="A1" sqref="A1"/>
    </sheetView>
  </sheetViews>
  <sheetFormatPr defaultColWidth="11.421875" defaultRowHeight="12.75"/>
  <cols>
    <col min="1" max="1" width="8.140625" style="33" customWidth="1"/>
    <col min="2" max="2" width="11.57421875" style="411" customWidth="1"/>
  </cols>
  <sheetData>
    <row r="1" ht="12.75">
      <c r="A1" s="33" t="s">
        <v>491</v>
      </c>
    </row>
    <row r="2" ht="12.75">
      <c r="A2" s="33" t="s">
        <v>492</v>
      </c>
    </row>
    <row r="3" ht="12.75">
      <c r="A3" s="33" t="s">
        <v>493</v>
      </c>
    </row>
    <row r="4" ht="12.75">
      <c r="A4" s="33" t="s">
        <v>494</v>
      </c>
    </row>
    <row r="5" ht="12.75">
      <c r="A5" s="33" t="s">
        <v>70</v>
      </c>
    </row>
    <row r="6" ht="12.75">
      <c r="A6" s="33" t="s">
        <v>495</v>
      </c>
    </row>
    <row r="7" ht="12.75">
      <c r="A7" s="33" t="s">
        <v>496</v>
      </c>
    </row>
    <row r="8" ht="12.75">
      <c r="A8" s="33" t="s">
        <v>497</v>
      </c>
    </row>
    <row r="9" ht="12.75">
      <c r="A9" s="33" t="s">
        <v>498</v>
      </c>
    </row>
    <row r="10" ht="12.75">
      <c r="A10" s="33" t="s">
        <v>499</v>
      </c>
    </row>
    <row r="11" ht="12.75">
      <c r="A11" s="33" t="s">
        <v>500</v>
      </c>
    </row>
    <row r="12" ht="12.75">
      <c r="A12" s="33" t="s">
        <v>501</v>
      </c>
    </row>
    <row r="13" ht="12.75">
      <c r="A13" s="33" t="s">
        <v>509</v>
      </c>
    </row>
    <row r="14" ht="12.75">
      <c r="A14" s="33" t="s">
        <v>502</v>
      </c>
    </row>
    <row r="15" ht="12.75">
      <c r="A15" s="33" t="s">
        <v>505</v>
      </c>
    </row>
    <row r="16" ht="12.75">
      <c r="A16" s="33" t="s">
        <v>506</v>
      </c>
    </row>
    <row r="17" ht="12.75">
      <c r="A17" s="33" t="s">
        <v>507</v>
      </c>
    </row>
    <row r="18" ht="12.75">
      <c r="A18" s="33" t="s">
        <v>508</v>
      </c>
    </row>
    <row r="19" ht="12.75">
      <c r="A19" s="33" t="s">
        <v>510</v>
      </c>
    </row>
    <row r="20" ht="12.75">
      <c r="A20" s="33" t="s">
        <v>511</v>
      </c>
    </row>
    <row r="21" ht="12.75">
      <c r="A21" s="33" t="s">
        <v>503</v>
      </c>
    </row>
    <row r="22" ht="12.75">
      <c r="A22" s="33" t="s">
        <v>504</v>
      </c>
    </row>
    <row r="23" ht="12.75">
      <c r="A23" s="33" t="s">
        <v>512</v>
      </c>
    </row>
    <row r="24" ht="12.75">
      <c r="A24" s="33" t="s">
        <v>180</v>
      </c>
    </row>
    <row r="25" ht="12.75">
      <c r="A25" s="33" t="s">
        <v>513</v>
      </c>
    </row>
    <row r="26" ht="12.75">
      <c r="A26" s="33" t="s">
        <v>514</v>
      </c>
    </row>
    <row r="27" ht="12.75">
      <c r="A27" s="33" t="s">
        <v>515</v>
      </c>
    </row>
    <row r="28" ht="12.75">
      <c r="A28" s="33" t="s">
        <v>516</v>
      </c>
    </row>
    <row r="29" ht="12.75">
      <c r="A29" s="33" t="s">
        <v>517</v>
      </c>
    </row>
    <row r="30" ht="12.75">
      <c r="A30" s="33" t="s">
        <v>518</v>
      </c>
    </row>
    <row r="31" ht="12.75">
      <c r="A31" s="33" t="s">
        <v>519</v>
      </c>
    </row>
    <row r="32" ht="12.75">
      <c r="A32" s="33" t="s">
        <v>520</v>
      </c>
    </row>
    <row r="33" ht="12.75">
      <c r="A33" s="33" t="s">
        <v>521</v>
      </c>
    </row>
    <row r="34" ht="12.75">
      <c r="A34" s="33" t="s">
        <v>522</v>
      </c>
    </row>
    <row r="35" ht="12.75">
      <c r="A35" s="33" t="s">
        <v>523</v>
      </c>
    </row>
    <row r="36" ht="12.75">
      <c r="A36" s="33" t="s">
        <v>524</v>
      </c>
    </row>
    <row r="37" ht="12.75">
      <c r="A37" s="33" t="s">
        <v>525</v>
      </c>
    </row>
    <row r="38" ht="12.75">
      <c r="A38" s="33" t="s">
        <v>526</v>
      </c>
    </row>
    <row r="39" ht="12.75">
      <c r="A39" s="33" t="s">
        <v>527</v>
      </c>
    </row>
    <row r="40" ht="12.75">
      <c r="A40" s="33" t="s">
        <v>528</v>
      </c>
    </row>
    <row r="41" ht="12.75">
      <c r="A41" s="33" t="s">
        <v>529</v>
      </c>
    </row>
    <row r="42" ht="12.75">
      <c r="A42" s="33" t="s">
        <v>530</v>
      </c>
    </row>
    <row r="43" ht="12.75">
      <c r="A43" s="33" t="s">
        <v>181</v>
      </c>
    </row>
    <row r="44" ht="12.75">
      <c r="A44" s="33" t="s">
        <v>531</v>
      </c>
    </row>
    <row r="45" ht="12.75">
      <c r="A45" s="33" t="s">
        <v>532</v>
      </c>
    </row>
    <row r="46" ht="12.75">
      <c r="A46" s="33" t="s">
        <v>533</v>
      </c>
    </row>
    <row r="47" ht="12.75">
      <c r="A47" s="33" t="s">
        <v>534</v>
      </c>
    </row>
    <row r="48" ht="12.75">
      <c r="A48" s="33" t="s">
        <v>535</v>
      </c>
    </row>
    <row r="49" ht="12.75">
      <c r="A49" s="33" t="s">
        <v>536</v>
      </c>
    </row>
    <row r="50" ht="12.75">
      <c r="A50" s="33" t="s">
        <v>537</v>
      </c>
    </row>
    <row r="51" ht="12.75">
      <c r="A51" s="33" t="s">
        <v>538</v>
      </c>
    </row>
    <row r="52" ht="12.75">
      <c r="A52" s="33" t="s">
        <v>539</v>
      </c>
    </row>
    <row r="53" ht="12.75">
      <c r="A53" s="33" t="s">
        <v>540</v>
      </c>
    </row>
    <row r="54" ht="12.75">
      <c r="A54" s="33" t="s">
        <v>541</v>
      </c>
    </row>
    <row r="55" ht="12.75">
      <c r="A55" s="33" t="s">
        <v>542</v>
      </c>
    </row>
    <row r="56" ht="12.75">
      <c r="A56" s="33" t="s">
        <v>543</v>
      </c>
    </row>
    <row r="57" ht="12.75">
      <c r="A57" s="33" t="s">
        <v>544</v>
      </c>
    </row>
    <row r="58" ht="12.75">
      <c r="A58" s="33" t="s">
        <v>545</v>
      </c>
    </row>
    <row r="59" ht="12.75">
      <c r="A59" s="33" t="s">
        <v>546</v>
      </c>
    </row>
    <row r="60" ht="12.75">
      <c r="A60" s="33" t="s">
        <v>547</v>
      </c>
    </row>
    <row r="61" ht="12.75">
      <c r="A61" s="33" t="s">
        <v>548</v>
      </c>
    </row>
    <row r="62" ht="12.75">
      <c r="A62" s="33" t="s">
        <v>182</v>
      </c>
    </row>
    <row r="63" ht="12.75">
      <c r="A63" s="33" t="s">
        <v>549</v>
      </c>
    </row>
    <row r="64" ht="12.75">
      <c r="A64" s="33" t="s">
        <v>550</v>
      </c>
    </row>
    <row r="65" ht="12.75">
      <c r="A65" s="33" t="s">
        <v>551</v>
      </c>
    </row>
    <row r="66" ht="12.75">
      <c r="A66" s="33" t="s">
        <v>552</v>
      </c>
    </row>
    <row r="67" ht="12.75">
      <c r="A67" s="33" t="s">
        <v>553</v>
      </c>
    </row>
    <row r="68" ht="12.75">
      <c r="A68" s="33" t="s">
        <v>555</v>
      </c>
    </row>
    <row r="69" ht="12.75">
      <c r="A69" s="33" t="s">
        <v>554</v>
      </c>
    </row>
    <row r="70" ht="12.75">
      <c r="A70" s="33" t="s">
        <v>556</v>
      </c>
    </row>
    <row r="71" ht="12.75">
      <c r="A71" s="33" t="s">
        <v>557</v>
      </c>
    </row>
    <row r="72" ht="12.75">
      <c r="A72" s="33" t="s">
        <v>558</v>
      </c>
    </row>
    <row r="73" ht="12.75">
      <c r="A73" s="33" t="s">
        <v>559</v>
      </c>
    </row>
    <row r="74" ht="12.75">
      <c r="A74" s="33" t="s">
        <v>560</v>
      </c>
    </row>
    <row r="75" ht="12.75">
      <c r="A75" s="33" t="s">
        <v>561</v>
      </c>
    </row>
    <row r="76" ht="12.75">
      <c r="A76" s="33" t="s">
        <v>562</v>
      </c>
    </row>
    <row r="77" ht="12.75">
      <c r="A77" s="33" t="s">
        <v>563</v>
      </c>
    </row>
    <row r="78" ht="12.75">
      <c r="A78" s="33" t="s">
        <v>564</v>
      </c>
    </row>
    <row r="79" ht="12.75">
      <c r="A79" s="33" t="s">
        <v>565</v>
      </c>
    </row>
    <row r="80" ht="12.75">
      <c r="A80" s="33" t="s">
        <v>566</v>
      </c>
    </row>
    <row r="81" ht="12.75">
      <c r="A81" s="33" t="s">
        <v>183</v>
      </c>
    </row>
    <row r="82" ht="12.75">
      <c r="A82" s="33" t="s">
        <v>567</v>
      </c>
    </row>
    <row r="83" ht="12.75">
      <c r="A83" s="33" t="s">
        <v>569</v>
      </c>
    </row>
    <row r="84" ht="12.75">
      <c r="A84" s="33" t="s">
        <v>570</v>
      </c>
    </row>
    <row r="85" ht="12.75">
      <c r="A85" s="33" t="s">
        <v>571</v>
      </c>
    </row>
    <row r="86" ht="12.75">
      <c r="A86" s="33" t="s">
        <v>849</v>
      </c>
    </row>
    <row r="87" ht="12.75">
      <c r="A87" s="33" t="s">
        <v>568</v>
      </c>
    </row>
    <row r="88" ht="12.75">
      <c r="A88" s="33" t="s">
        <v>572</v>
      </c>
    </row>
    <row r="89" ht="12.75">
      <c r="A89" s="33" t="s">
        <v>573</v>
      </c>
    </row>
    <row r="90" ht="12.75">
      <c r="A90" s="33" t="s">
        <v>574</v>
      </c>
    </row>
    <row r="91" ht="12.75">
      <c r="A91" s="33" t="s">
        <v>851</v>
      </c>
    </row>
    <row r="92" ht="12.75">
      <c r="A92" s="33" t="s">
        <v>575</v>
      </c>
    </row>
    <row r="93" ht="12.75">
      <c r="A93" s="33" t="s">
        <v>576</v>
      </c>
    </row>
    <row r="94" ht="12.75">
      <c r="A94" s="33" t="s">
        <v>577</v>
      </c>
    </row>
    <row r="95" ht="12.75">
      <c r="A95" s="33" t="s">
        <v>578</v>
      </c>
    </row>
    <row r="96" ht="12.75">
      <c r="A96" s="33" t="s">
        <v>579</v>
      </c>
    </row>
    <row r="97" ht="12.75">
      <c r="A97" s="33" t="s">
        <v>580</v>
      </c>
    </row>
    <row r="98" ht="12.75">
      <c r="A98" s="33" t="s">
        <v>581</v>
      </c>
    </row>
    <row r="100" ht="12.75">
      <c r="A100" s="33" t="s">
        <v>582</v>
      </c>
    </row>
    <row r="101" ht="12.75">
      <c r="A101" s="33" t="s">
        <v>583</v>
      </c>
    </row>
    <row r="102" ht="12.75">
      <c r="A102" s="33" t="s">
        <v>584</v>
      </c>
    </row>
    <row r="103" ht="12.75">
      <c r="A103" s="33" t="s">
        <v>585</v>
      </c>
    </row>
    <row r="104" ht="12.75">
      <c r="A104" s="33" t="s">
        <v>586</v>
      </c>
    </row>
    <row r="105" ht="12.75">
      <c r="A105" s="33" t="s">
        <v>587</v>
      </c>
    </row>
    <row r="106" ht="12.75">
      <c r="A106" s="33" t="s">
        <v>588</v>
      </c>
    </row>
    <row r="108" ht="12.75">
      <c r="A108" s="33" t="s">
        <v>589</v>
      </c>
    </row>
    <row r="109" ht="12.75">
      <c r="A109" s="33" t="s">
        <v>590</v>
      </c>
    </row>
    <row r="110" ht="12.75">
      <c r="A110" s="33" t="s">
        <v>591</v>
      </c>
    </row>
    <row r="112" ht="12.75">
      <c r="A112" s="33" t="s">
        <v>592</v>
      </c>
    </row>
    <row r="113" ht="12.75">
      <c r="A113" s="33" t="s">
        <v>106</v>
      </c>
    </row>
    <row r="114" ht="12.75">
      <c r="A114" s="33" t="s">
        <v>107</v>
      </c>
    </row>
    <row r="116" ht="12.75">
      <c r="A116" s="33" t="s">
        <v>108</v>
      </c>
    </row>
    <row r="117" ht="12.75">
      <c r="A117" s="33" t="s">
        <v>109</v>
      </c>
    </row>
    <row r="118" ht="12.75">
      <c r="A118" s="33" t="s">
        <v>110</v>
      </c>
    </row>
    <row r="120" ht="12.75">
      <c r="A120" s="33" t="s">
        <v>111</v>
      </c>
    </row>
    <row r="121" ht="12.75">
      <c r="A121" s="33" t="s">
        <v>112</v>
      </c>
    </row>
    <row r="122" ht="12.75">
      <c r="A122" s="33" t="s">
        <v>113</v>
      </c>
    </row>
    <row r="124" ht="12.75">
      <c r="A124" s="33" t="s">
        <v>114</v>
      </c>
    </row>
    <row r="125" ht="12.75">
      <c r="A125" s="33" t="s">
        <v>115</v>
      </c>
    </row>
    <row r="126" ht="12.75">
      <c r="A126" s="33" t="s">
        <v>116</v>
      </c>
    </row>
    <row r="127" ht="12.75">
      <c r="A127" s="33" t="s">
        <v>117</v>
      </c>
    </row>
    <row r="128" ht="12.75">
      <c r="A128" s="33" t="s">
        <v>118</v>
      </c>
    </row>
    <row r="130" ht="12.75">
      <c r="A130" s="33" t="s">
        <v>120</v>
      </c>
    </row>
    <row r="131" ht="12.75">
      <c r="A131" s="33" t="s">
        <v>119</v>
      </c>
    </row>
    <row r="132" ht="12.75">
      <c r="A132" s="33" t="s">
        <v>121</v>
      </c>
    </row>
    <row r="133" ht="12.75">
      <c r="A133" s="33" t="s">
        <v>122</v>
      </c>
    </row>
    <row r="134" ht="12.75">
      <c r="A134" s="33" t="s">
        <v>123</v>
      </c>
    </row>
    <row r="163" ht="12.75">
      <c r="A163" s="33" t="s">
        <v>769</v>
      </c>
    </row>
    <row r="164" ht="12.75">
      <c r="A164" s="33" t="s">
        <v>774</v>
      </c>
    </row>
    <row r="165" ht="12.75">
      <c r="A165" s="33" t="s">
        <v>775</v>
      </c>
    </row>
    <row r="166" ht="12.75">
      <c r="A166" s="33" t="s">
        <v>776</v>
      </c>
    </row>
    <row r="169" ht="12.75">
      <c r="A169" s="33" t="s">
        <v>852</v>
      </c>
    </row>
    <row r="170" ht="12.75">
      <c r="A170" s="33" t="s">
        <v>853</v>
      </c>
    </row>
    <row r="171" ht="12.75">
      <c r="A171" s="33" t="s">
        <v>854</v>
      </c>
    </row>
    <row r="172" ht="12.75">
      <c r="A172" s="33" t="s">
        <v>855</v>
      </c>
    </row>
    <row r="173" ht="12.75">
      <c r="A173" s="33" t="s">
        <v>856</v>
      </c>
    </row>
    <row r="174" ht="12.75">
      <c r="A174" s="33" t="s">
        <v>857</v>
      </c>
    </row>
    <row r="175" ht="12.75">
      <c r="A175" s="33" t="s">
        <v>858</v>
      </c>
    </row>
    <row r="176" ht="12.75">
      <c r="A176" s="33" t="s">
        <v>859</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Christoph Gmür, AWEL, Abt. Energie, Zürich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Rechnerischer Nachweis Höchstanteil nichterneuerbare Energie, Version 7.0, Nov 2014</dc:title>
  <dc:subject>Energie-Nachweis</dc:subject>
  <dc:creator>b295pah</dc:creator>
  <cp:keywords/>
  <dc:description>Letzte Korrekturen: Neue Grenzwerte SIA 380/1, Version 2009 und Klimastationen nach SIA 2028. Korrektur Gr. St. Bernhard.
Letzte Änderung: 22. Nov 2014, V96
Neues Gültigkeitsdatum 31.12.2015
keine Winkelkorr. Kollektoren bei manueller Eingabe. Blatt WP entfernt. Neu manueller Überetrag von WPesti möglich.</dc:description>
  <cp:lastModifiedBy>Lehmann Beat</cp:lastModifiedBy>
  <cp:lastPrinted>2014-11-22T16:02:40Z</cp:lastPrinted>
  <dcterms:created xsi:type="dcterms:W3CDTF">1998-04-16T12:19:12Z</dcterms:created>
  <dcterms:modified xsi:type="dcterms:W3CDTF">2019-12-10T16:08:57Z</dcterms:modified>
  <cp:category/>
  <cp:version/>
  <cp:contentType/>
  <cp:contentStatus/>
</cp:coreProperties>
</file>